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urfer Girl/RECENTS/"/>
    </mc:Choice>
  </mc:AlternateContent>
  <xr:revisionPtr revIDLastSave="0" documentId="8_{CF5B9E90-F417-B740-8C4B-6386445D485D}" xr6:coauthVersionLast="47" xr6:coauthVersionMax="47" xr10:uidLastSave="{00000000-0000-0000-0000-000000000000}"/>
  <workbookProtection workbookPassword="EBF5" lockStructure="1"/>
  <bookViews>
    <workbookView xWindow="7760" yWindow="2060" windowWidth="37260" windowHeight="23360" activeTab="3" xr2:uid="{00000000-000D-0000-FFFF-FFFF00000000}"/>
  </bookViews>
  <sheets>
    <sheet name="Rate and Term Refinance" sheetId="1" r:id="rId1"/>
    <sheet name="Simple Refinance" sheetId="2" r:id="rId2"/>
    <sheet name="Streamline Refinance" sheetId="3" r:id="rId3"/>
    <sheet name="Cash-Out" sheetId="5" r:id="rId4"/>
    <sheet name="Drop downs" sheetId="4" state="hidden" r:id="rId5"/>
  </sheets>
  <externalReferences>
    <externalReference r:id="rId6"/>
    <externalReference r:id="rId7"/>
  </externalReferences>
  <definedNames>
    <definedName name="loan">[1]Dropdowns!$B$1:$B$5</definedName>
    <definedName name="MIP_Rate">[1]Dropdowns!$F$1:$F$17</definedName>
    <definedName name="yesorno">[2]Dropdowns!$A$1:$A$3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5" l="1"/>
  <c r="G6" i="5"/>
  <c r="G3" i="5"/>
  <c r="G12" i="5"/>
  <c r="Q18" i="3"/>
  <c r="Q15" i="3"/>
  <c r="Q12" i="3"/>
  <c r="Q21" i="3"/>
  <c r="I45" i="2"/>
  <c r="I47" i="1"/>
  <c r="F34" i="1"/>
  <c r="I34" i="1"/>
  <c r="I28" i="1"/>
  <c r="I20" i="2"/>
  <c r="I40" i="2"/>
  <c r="G34" i="2"/>
  <c r="I23" i="2"/>
  <c r="I33" i="2"/>
  <c r="I35" i="2"/>
  <c r="I16" i="2"/>
  <c r="I15" i="2"/>
  <c r="I17" i="2"/>
  <c r="I19" i="2"/>
  <c r="G41" i="3"/>
  <c r="D41" i="3"/>
  <c r="J41" i="3"/>
  <c r="I34" i="2"/>
  <c r="G46" i="3"/>
  <c r="I31" i="3"/>
  <c r="I25" i="3"/>
  <c r="I26" i="3"/>
  <c r="I33" i="3"/>
  <c r="I20" i="3"/>
  <c r="G30" i="3"/>
  <c r="G27" i="3"/>
  <c r="I14" i="3"/>
  <c r="G16" i="3"/>
  <c r="I18" i="2"/>
  <c r="G39" i="2"/>
  <c r="G36" i="2"/>
  <c r="I36" i="2"/>
  <c r="I37" i="2"/>
  <c r="G20" i="2"/>
  <c r="I21" i="2"/>
  <c r="I43" i="2"/>
  <c r="I41" i="2"/>
  <c r="I42" i="2"/>
  <c r="I39" i="2"/>
  <c r="I24" i="3"/>
  <c r="H59" i="3"/>
  <c r="I27" i="3"/>
  <c r="I28" i="3"/>
  <c r="I17" i="3"/>
  <c r="I16" i="3"/>
  <c r="I15" i="3"/>
  <c r="I32" i="3"/>
  <c r="I34" i="3"/>
  <c r="I30" i="3"/>
  <c r="I29" i="1"/>
  <c r="I30" i="1"/>
  <c r="I42" i="1"/>
  <c r="I36" i="1"/>
  <c r="I37" i="1"/>
  <c r="I38" i="1"/>
  <c r="I39" i="1"/>
  <c r="G38" i="1"/>
  <c r="G31" i="1"/>
  <c r="G41" i="1"/>
  <c r="I35" i="1"/>
  <c r="I43" i="1"/>
  <c r="I44" i="1"/>
  <c r="I41" i="1"/>
  <c r="I31" i="1"/>
  <c r="I32" i="1"/>
  <c r="I45" i="1"/>
  <c r="J40" i="3"/>
  <c r="J39" i="3"/>
  <c r="J38" i="3"/>
  <c r="J37" i="3"/>
  <c r="H38" i="3"/>
  <c r="G42" i="3"/>
  <c r="J47" i="3"/>
  <c r="J46" i="3"/>
  <c r="J45" i="3"/>
  <c r="J44" i="3"/>
  <c r="J43" i="3"/>
  <c r="H44" i="3"/>
</calcChain>
</file>

<file path=xl/sharedStrings.xml><?xml version="1.0" encoding="utf-8"?>
<sst xmlns="http://schemas.openxmlformats.org/spreadsheetml/2006/main" count="238" uniqueCount="166">
  <si>
    <t>FHA Rate and Term Refinance Maximum Mortgage Worksheet</t>
  </si>
  <si>
    <t>Please use tabs at the bottom of the workbook to switch to "Simple Refinance", "Streamline Refinance", and "Cash-Out" worksheets</t>
  </si>
  <si>
    <t>Date:</t>
  </si>
  <si>
    <t>Loan Number</t>
  </si>
  <si>
    <t>FHA Case Number</t>
  </si>
  <si>
    <t>Please Enter the Following Information</t>
  </si>
  <si>
    <t>Unpaid Principal  Balance</t>
  </si>
  <si>
    <t>Appraised Value (if owned less than 1 year, the lesser of the original sales price plus any documented improvements made subsequent to the purchase, or current apprasied value)</t>
  </si>
  <si>
    <t>Please complete grey shaded boxes only</t>
  </si>
  <si>
    <t>New UFMIP Amount</t>
  </si>
  <si>
    <t>(Select UFMIP Rate)</t>
  </si>
  <si>
    <t>UFMIP Refund (if any) from the FHAC Refinance Authorization for the month the loan is funding (Note: Do not drop the decimal)</t>
  </si>
  <si>
    <t xml:space="preserve">Funding month used to calculate UFMIP Refund: </t>
  </si>
  <si>
    <t>(Select Month)</t>
  </si>
  <si>
    <t>Standard Method</t>
  </si>
  <si>
    <t>Enter the following information from the current payoff statement (rounded down):</t>
  </si>
  <si>
    <t>Interest due on existing mortgage</t>
  </si>
  <si>
    <t>Late fees</t>
  </si>
  <si>
    <t>Prepayment Penalties</t>
  </si>
  <si>
    <t>Escrow Shortages</t>
  </si>
  <si>
    <t>Miscellaneous Chargers</t>
  </si>
  <si>
    <t>Enter the Following Costs from the Current Transaction:</t>
  </si>
  <si>
    <t>Property related liens seasoned one year or more to be paid off by proceeds (for equity line of credits, any money &gt; $1,000.00 advanced in the past 12 months that were for purposes other than repairs/rehabilitation may not be included)</t>
  </si>
  <si>
    <t>Equity buy-out amount</t>
  </si>
  <si>
    <t>Repairs required by the apprasier</t>
  </si>
  <si>
    <t>PACE lien payoff (partial payoff is not permitted)</t>
  </si>
  <si>
    <t>Borrower paid closing costs</t>
  </si>
  <si>
    <t>Prepaid items to establish the escrow account</t>
  </si>
  <si>
    <t>Reasonable discount points</t>
  </si>
  <si>
    <t>Netted Escrows (From payoff Statement)</t>
  </si>
  <si>
    <t>Base loan amount</t>
  </si>
  <si>
    <t>UFMIP Refund from the FHAC Refinance Authorization for the month the loan is funding</t>
  </si>
  <si>
    <t>Adjusted base loan amount (Base loan amount - UFMIP Refund)</t>
  </si>
  <si>
    <t>+ New UFMIP (base loan times appliable factor, See FHA MIP Chart for factors)</t>
  </si>
  <si>
    <t>= Maximum insurabe Mortgage Amount</t>
  </si>
  <si>
    <t>Apprasied Value Method</t>
  </si>
  <si>
    <t>Appraised Value (if owned less than 1 year, lesser of the original sales price or current appraised value)</t>
  </si>
  <si>
    <t>x 97.75%</t>
  </si>
  <si>
    <t>UFMIP Refund (if any) from the FHAC Refinance Authorization for the month the loan is funding</t>
  </si>
  <si>
    <t xml:space="preserve">Adjusted base loan amount  </t>
  </si>
  <si>
    <t>+ new UFMIP (base loan times appliable factor, See FHA MIP Chart for factors)</t>
  </si>
  <si>
    <t>= Maximum Insurable Mortgage Amount</t>
  </si>
  <si>
    <t>Findings</t>
  </si>
  <si>
    <t>New UFMIP (Base Loan Times Applicable Factor)</t>
  </si>
  <si>
    <t xml:space="preserve">UFMIP Refund from the FHAC Refinance Authorization  </t>
  </si>
  <si>
    <t>Maximum Base Loan Amount</t>
  </si>
  <si>
    <t>Adjusted Maximum Base Loan Amount</t>
  </si>
  <si>
    <t>Maximum Final Loan Amount</t>
  </si>
  <si>
    <t>Unpaid Principal Balance To Be Entered in FHA Connecton/FHA Insuring:</t>
  </si>
  <si>
    <t>Update 3/2024 ** Original Issue Date: 2021</t>
  </si>
  <si>
    <t>FHA Simple Refinance Maximum Mortgage Worksheet</t>
  </si>
  <si>
    <t>Please use tabs at the bottom of the workbook to switch to "Rate and Term Refinance", "Streamline Refinance", and "Cash-Out" worksheets</t>
  </si>
  <si>
    <t xml:space="preserve"> Loan Number</t>
  </si>
  <si>
    <t>Property Type:</t>
  </si>
  <si>
    <t>(Select Property Type)</t>
  </si>
  <si>
    <t>The Maximum Mortgage is the Lower of the Following:</t>
  </si>
  <si>
    <t>Appraised Value Method</t>
  </si>
  <si>
    <t>Appraised Value:</t>
  </si>
  <si>
    <t>LTV Allowed:</t>
  </si>
  <si>
    <t>Base Loan Amount:</t>
  </si>
  <si>
    <t>UFMIP Refund from the FHAC Refinance Authorization for the month the loan is funding (Do not drop decimal)</t>
  </si>
  <si>
    <t>-</t>
  </si>
  <si>
    <t>Adjusted Base Loan Amount:</t>
  </si>
  <si>
    <t>Maxium Insurable Mortgage Amount:</t>
  </si>
  <si>
    <t>=</t>
  </si>
  <si>
    <t>Unpaid Principal Balance of the month prior to the mortgage disbursement</t>
  </si>
  <si>
    <t>MIP due on the existing mortgage</t>
  </si>
  <si>
    <t>Late Charges</t>
  </si>
  <si>
    <t>Borrower Paid Closing Costs (No Discout Points)</t>
  </si>
  <si>
    <t>Repairs required by the appraiser</t>
  </si>
  <si>
    <t>PACE Lien Payoff (Partial Payoff is not permitted)</t>
  </si>
  <si>
    <t>Netted Escrows (From the payoff statement)</t>
  </si>
  <si>
    <t>Adjusted Base Loan amount:</t>
  </si>
  <si>
    <t>New UFMIP (Base loan times applicable factor, see FHA MIP Chart for factors)</t>
  </si>
  <si>
    <t>Maximum Insurable Mortgage Amount</t>
  </si>
  <si>
    <t>UFMIP Refund from the FHAC Refinance Authorization</t>
  </si>
  <si>
    <t>Maximum Base Loan Amount:</t>
  </si>
  <si>
    <t>Adjusted Maximum Base loan amount:</t>
  </si>
  <si>
    <t>Maximum Final Loan Amount:</t>
  </si>
  <si>
    <t>Unpaid Principal Balance To Be Entered in FHA Connection/FHA Insuring:</t>
  </si>
  <si>
    <t>Updated 3/2024 **Original Issue Date: 2021</t>
  </si>
  <si>
    <t>FHA Streamline Refinance Maximum Mortgage Worksheet</t>
  </si>
  <si>
    <t>Please use tabs at the bottom of the workbook to switch to "Rate and Term Refinance", "Simple Refinance", and "Cash-Out" worksheets</t>
  </si>
  <si>
    <t>Streamline Refinance</t>
  </si>
  <si>
    <t>Unpaid Principal Balance:</t>
  </si>
  <si>
    <t>Funding Month used to calculate UFMIP Refund</t>
  </si>
  <si>
    <t>UFMIP Refund (if any) from the FHAC Refinance Authorization for the month the loan is funding (Note; Do not drop the decimal)</t>
  </si>
  <si>
    <t>The Maximum Mortgage is the lesser of:</t>
  </si>
  <si>
    <t>FHA Streamline Seasoning Requirements:</t>
  </si>
  <si>
    <t>Original Principal Balance Method</t>
  </si>
  <si>
    <t>Number of consecutive payments made on original loan that is being refinanced (evidenced by credit report or credit supplement)</t>
  </si>
  <si>
    <t>The Original Principal Balance (including any financed MIP; Rounded down)</t>
  </si>
  <si>
    <t>Date Calculator</t>
  </si>
  <si>
    <t>Adjusted Base Loan Amount</t>
  </si>
  <si>
    <t>First Payment due date of original loan (xx/xx/xxxx):</t>
  </si>
  <si>
    <t xml:space="preserve">New UFMIP </t>
  </si>
  <si>
    <t>First payment due date of new loan (xx/xx/xxxx):</t>
  </si>
  <si>
    <t>Closing date of mortgage being refinanced: (xx/xx/xxxx)</t>
  </si>
  <si>
    <t>From Current Payoff Statement:</t>
  </si>
  <si>
    <t>Date case number was assigned for new loan: (xx/xx/xxxx)</t>
  </si>
  <si>
    <t>Interest due on existing mortgage (Primary Residence Only, for investment properties leave blank)</t>
  </si>
  <si>
    <t>Are Seasoning Requirements Met:</t>
  </si>
  <si>
    <t>MIP Due on the existing mortgage (Primary residence only, For investment properties leave blank)</t>
  </si>
  <si>
    <t>Netted Escrows (from the payoff statement)</t>
  </si>
  <si>
    <t>Base Loan Amount</t>
  </si>
  <si>
    <t>New UFMIP</t>
  </si>
  <si>
    <t>Findings:</t>
  </si>
  <si>
    <t xml:space="preserve">UFMIP Refund from the FHAC Refinance Authorization: </t>
  </si>
  <si>
    <t>Net Tangible Benefit Worksheet</t>
  </si>
  <si>
    <t>(Select Yes or No)</t>
  </si>
  <si>
    <t>(Select Type)</t>
  </si>
  <si>
    <t>(Select MIP Rate)</t>
  </si>
  <si>
    <t xml:space="preserve">Does The New Loan Offer a Reduction In Term of 3 years or more? </t>
  </si>
  <si>
    <t>No</t>
  </si>
  <si>
    <t>Fixed Rate to Fixed Rate</t>
  </si>
  <si>
    <t>Select Existing and New Loan Type:</t>
  </si>
  <si>
    <t>Yes</t>
  </si>
  <si>
    <t>Fixed Rate to ARM</t>
  </si>
  <si>
    <t>Current Note Rate</t>
  </si>
  <si>
    <t>New Note Rate</t>
  </si>
  <si>
    <t>ARM to Fixed Rate</t>
  </si>
  <si>
    <t>Current MIP</t>
  </si>
  <si>
    <t>New MIP</t>
  </si>
  <si>
    <t>ARM to ARM</t>
  </si>
  <si>
    <t>Current Combined Rate</t>
  </si>
  <si>
    <t>New Combined Rate</t>
  </si>
  <si>
    <t>Current Combined Rate* minus New Current Combined Rate*</t>
  </si>
  <si>
    <r>
      <t xml:space="preserve">Step II: Please Complete For Loans that Include a Reduction In Term of 3 years or more
**Note: </t>
    </r>
    <r>
      <rPr>
        <sz val="8"/>
        <color indexed="8"/>
        <rFont val="Calibri"/>
        <family val="2"/>
      </rPr>
      <t>If there is not a reduction in term of at least 3 years, this section should not be used.</t>
    </r>
  </si>
  <si>
    <t>Pass/Fail:</t>
  </si>
  <si>
    <t xml:space="preserve">Current P &amp; I plus annual MIP </t>
  </si>
  <si>
    <t xml:space="preserve">New P &amp; I plus annual MIP </t>
  </si>
  <si>
    <t>Current P &amp; I plus annual MIP minus new P &amp; I plus annual MIP</t>
  </si>
  <si>
    <t>Net Tangible Benefit Standards - Transactions without a Term Reduction or with a Term Reduction of less than 3 years</t>
  </si>
  <si>
    <t>From</t>
  </si>
  <si>
    <t>To</t>
  </si>
  <si>
    <t>New Combined Rate must be:</t>
  </si>
  <si>
    <t>Fixed Rate</t>
  </si>
  <si>
    <t>At least .5 percentage points below the prior combined rate.</t>
  </si>
  <si>
    <t>ARM</t>
  </si>
  <si>
    <t>No more than 2 percentage poitns above the prior combined rate.</t>
  </si>
  <si>
    <t>Net Tangible Benefit Standards - Transactions with a Term Reduction of 3 years or more</t>
  </si>
  <si>
    <t>Below the prior combined rate.</t>
  </si>
  <si>
    <t>No More than 2 percentage points above the prior combined rate.</t>
  </si>
  <si>
    <t>Reduction in Term:</t>
  </si>
  <si>
    <t>The combined principal, interst, and MIP payment of the new mortgage must not exceed the combined principal,  interest, and MIP payment of the refinanced mortgage by more than $50.00</t>
  </si>
  <si>
    <t>Updated 3.2024 ** Original Issue Date: 2021</t>
  </si>
  <si>
    <t>FHA Cash-Out Seasoning Requirements</t>
  </si>
  <si>
    <t>FHA  Seasoning Requirements:</t>
  </si>
  <si>
    <t>Please use tabs at the bottom of the workbook to switch to "Rate and Term Refinance", "Simple Refinance", and "Streamline Refinance" worksheets</t>
  </si>
  <si>
    <t>Number of consecutive payments made on loan that is being refinanced (evidenced by credit report or credit supplement)</t>
  </si>
  <si>
    <t>First Payment due date date of original loan (xx/xx/xxxx):</t>
  </si>
  <si>
    <t>Number of months borrower has owned and occupied the property being refinanced as their primary residence (Prior to case number assignment):</t>
  </si>
  <si>
    <t>Primary Residence (Max CLTV 97.75%)</t>
  </si>
  <si>
    <t>January</t>
  </si>
  <si>
    <t>HUD Approved 2nd Home (Max CLTV 85%)</t>
  </si>
  <si>
    <t>Febuary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</si>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</sst>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\●\ General;\●\ General;\●\ General;\●\ General"/>
    <numFmt numFmtId="166" formatCode="0.000"/>
    <numFmt numFmtId="167" formatCode="#,##0.000"/>
    <numFmt numFmtId="168" formatCode="&quot;$&quot;#,##0.00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9377F"/>
        <bgColor indexed="64"/>
      </patternFill>
    </fill>
    <fill>
      <patternFill patternType="solid">
        <fgColor rgb="FF9B91B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0" fontId="0" fillId="0" borderId="0" xfId="0" applyNumberFormat="1"/>
    <xf numFmtId="2" fontId="0" fillId="0" borderId="0" xfId="0" applyNumberFormat="1"/>
    <xf numFmtId="166" fontId="6" fillId="2" borderId="1" xfId="0" applyNumberFormat="1" applyFont="1" applyFill="1" applyBorder="1" applyAlignment="1" applyProtection="1">
      <alignment vertical="center"/>
      <protection locked="0"/>
    </xf>
    <xf numFmtId="166" fontId="6" fillId="0" borderId="1" xfId="0" applyNumberFormat="1" applyFont="1" applyBorder="1" applyAlignment="1" applyProtection="1">
      <alignment vertical="center"/>
      <protection hidden="1"/>
    </xf>
    <xf numFmtId="167" fontId="6" fillId="0" borderId="1" xfId="0" applyNumberFormat="1" applyFont="1" applyBorder="1" applyAlignment="1" applyProtection="1">
      <alignment vertical="center"/>
      <protection hidden="1"/>
    </xf>
    <xf numFmtId="44" fontId="6" fillId="2" borderId="1" xfId="1" applyFont="1" applyFill="1" applyBorder="1" applyProtection="1">
      <protection locked="0"/>
    </xf>
    <xf numFmtId="44" fontId="6" fillId="2" borderId="2" xfId="1" applyFont="1" applyFill="1" applyBorder="1" applyProtection="1">
      <protection locked="0"/>
    </xf>
    <xf numFmtId="44" fontId="6" fillId="2" borderId="1" xfId="1" applyFont="1" applyFill="1" applyBorder="1" applyAlignment="1" applyProtection="1">
      <alignment vertical="center" wrapText="1"/>
      <protection locked="0"/>
    </xf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0" fontId="6" fillId="0" borderId="1" xfId="0" applyFont="1" applyBorder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44" fontId="6" fillId="0" borderId="1" xfId="1" applyFont="1" applyBorder="1" applyProtection="1">
      <protection hidden="1"/>
    </xf>
    <xf numFmtId="10" fontId="6" fillId="0" borderId="3" xfId="0" applyNumberFormat="1" applyFont="1" applyBorder="1" applyProtection="1">
      <protection hidden="1"/>
    </xf>
    <xf numFmtId="44" fontId="6" fillId="0" borderId="0" xfId="0" applyNumberFormat="1" applyFont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4" xfId="0" applyFont="1" applyBorder="1" applyProtection="1">
      <protection hidden="1"/>
    </xf>
    <xf numFmtId="44" fontId="6" fillId="0" borderId="1" xfId="0" applyNumberFormat="1" applyFont="1" applyBorder="1" applyProtection="1">
      <protection hidden="1"/>
    </xf>
    <xf numFmtId="0" fontId="6" fillId="0" borderId="5" xfId="0" applyFont="1" applyBorder="1" applyProtection="1">
      <protection hidden="1"/>
    </xf>
    <xf numFmtId="10" fontId="6" fillId="0" borderId="0" xfId="0" applyNumberFormat="1" applyFont="1" applyProtection="1">
      <protection hidden="1"/>
    </xf>
    <xf numFmtId="44" fontId="6" fillId="0" borderId="5" xfId="0" applyNumberFormat="1" applyFont="1" applyBorder="1" applyProtection="1">
      <protection hidden="1"/>
    </xf>
    <xf numFmtId="0" fontId="6" fillId="0" borderId="2" xfId="0" applyFont="1" applyBorder="1" applyProtection="1">
      <protection hidden="1"/>
    </xf>
    <xf numFmtId="44" fontId="6" fillId="3" borderId="1" xfId="1" applyFont="1" applyFill="1" applyBorder="1" applyProtection="1">
      <protection hidden="1"/>
    </xf>
    <xf numFmtId="44" fontId="6" fillId="0" borderId="0" xfId="1" applyFont="1" applyFill="1" applyBorder="1" applyProtection="1"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vertical="center" wrapText="1"/>
      <protection hidden="1"/>
    </xf>
    <xf numFmtId="168" fontId="6" fillId="0" borderId="1" xfId="0" applyNumberFormat="1" applyFont="1" applyBorder="1" applyAlignment="1" applyProtection="1">
      <alignment vertical="center"/>
      <protection hidden="1"/>
    </xf>
    <xf numFmtId="14" fontId="0" fillId="2" borderId="1" xfId="0" applyNumberFormat="1" applyFill="1" applyBorder="1" applyProtection="1"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hidden="1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hidden="1"/>
    </xf>
    <xf numFmtId="10" fontId="6" fillId="0" borderId="1" xfId="0" applyNumberFormat="1" applyFont="1" applyBorder="1" applyProtection="1">
      <protection hidden="1"/>
    </xf>
    <xf numFmtId="44" fontId="8" fillId="0" borderId="5" xfId="0" applyNumberFormat="1" applyFont="1" applyBorder="1" applyProtection="1">
      <protection hidden="1"/>
    </xf>
    <xf numFmtId="44" fontId="6" fillId="0" borderId="1" xfId="0" applyNumberFormat="1" applyFont="1" applyBorder="1" applyAlignment="1" applyProtection="1">
      <alignment horizontal="center" wrapText="1"/>
      <protection hidden="1"/>
    </xf>
    <xf numFmtId="44" fontId="8" fillId="0" borderId="1" xfId="0" applyNumberFormat="1" applyFont="1" applyBorder="1" applyProtection="1">
      <protection hidden="1"/>
    </xf>
    <xf numFmtId="164" fontId="6" fillId="0" borderId="1" xfId="1" applyNumberFormat="1" applyFont="1" applyBorder="1" applyProtection="1">
      <protection hidden="1"/>
    </xf>
    <xf numFmtId="44" fontId="9" fillId="3" borderId="1" xfId="1" applyFont="1" applyFill="1" applyBorder="1" applyProtection="1">
      <protection hidden="1"/>
    </xf>
    <xf numFmtId="44" fontId="9" fillId="0" borderId="1" xfId="1" applyFont="1" applyFill="1" applyBorder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12" fillId="0" borderId="0" xfId="0" applyFont="1" applyProtection="1">
      <protection hidden="1"/>
    </xf>
    <xf numFmtId="44" fontId="6" fillId="0" borderId="1" xfId="0" applyNumberFormat="1" applyFont="1" applyBorder="1" applyAlignment="1" applyProtection="1">
      <alignment horizontal="right"/>
      <protection hidden="1"/>
    </xf>
    <xf numFmtId="10" fontId="6" fillId="0" borderId="1" xfId="2" applyNumberFormat="1" applyFont="1" applyBorder="1" applyAlignment="1" applyProtection="1">
      <alignment horizontal="right"/>
      <protection hidden="1"/>
    </xf>
    <xf numFmtId="0" fontId="12" fillId="0" borderId="0" xfId="0" quotePrefix="1" applyFont="1" applyAlignment="1" applyProtection="1">
      <alignment horizontal="center"/>
      <protection hidden="1"/>
    </xf>
    <xf numFmtId="10" fontId="6" fillId="0" borderId="1" xfId="0" applyNumberFormat="1" applyFont="1" applyBorder="1" applyAlignment="1" applyProtection="1">
      <alignment horizontal="center"/>
      <protection hidden="1"/>
    </xf>
    <xf numFmtId="44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44" fontId="12" fillId="0" borderId="0" xfId="0" applyNumberFormat="1" applyFont="1" applyAlignment="1" applyProtection="1">
      <alignment horizontal="center"/>
      <protection hidden="1"/>
    </xf>
    <xf numFmtId="0" fontId="12" fillId="0" borderId="2" xfId="0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/>
    <xf numFmtId="0" fontId="13" fillId="4" borderId="1" xfId="0" applyFont="1" applyFill="1" applyBorder="1" applyAlignment="1" applyProtection="1">
      <alignment horizontal="center" vertical="top" wrapText="1"/>
      <protection hidden="1"/>
    </xf>
    <xf numFmtId="0" fontId="14" fillId="4" borderId="1" xfId="0" applyFont="1" applyFill="1" applyBorder="1" applyAlignment="1" applyProtection="1">
      <alignment horizontal="center" vertical="top" wrapText="1"/>
      <protection hidden="1"/>
    </xf>
    <xf numFmtId="0" fontId="15" fillId="2" borderId="1" xfId="0" applyFont="1" applyFill="1" applyBorder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left"/>
      <protection hidden="1"/>
    </xf>
    <xf numFmtId="0" fontId="6" fillId="0" borderId="7" xfId="0" applyFont="1" applyBorder="1" applyAlignment="1" applyProtection="1">
      <alignment horizontal="left"/>
      <protection hidden="1"/>
    </xf>
    <xf numFmtId="0" fontId="6" fillId="0" borderId="3" xfId="0" applyFont="1" applyBorder="1" applyAlignment="1" applyProtection="1">
      <alignment horizontal="left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locked="0"/>
    </xf>
    <xf numFmtId="44" fontId="6" fillId="2" borderId="1" xfId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  <protection hidden="1"/>
    </xf>
    <xf numFmtId="44" fontId="6" fillId="2" borderId="1" xfId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  <protection hidden="1"/>
    </xf>
    <xf numFmtId="0" fontId="7" fillId="2" borderId="1" xfId="0" applyFont="1" applyFill="1" applyBorder="1" applyAlignment="1" applyProtection="1">
      <alignment horizontal="center"/>
      <protection locked="0"/>
    </xf>
    <xf numFmtId="1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left" wrapText="1"/>
      <protection hidden="1"/>
    </xf>
    <xf numFmtId="0" fontId="17" fillId="0" borderId="1" xfId="0" applyFont="1" applyBorder="1" applyAlignment="1" applyProtection="1">
      <alignment horizontal="center"/>
      <protection hidden="1"/>
    </xf>
    <xf numFmtId="49" fontId="6" fillId="0" borderId="6" xfId="0" applyNumberFormat="1" applyFont="1" applyBorder="1" applyAlignment="1" applyProtection="1">
      <alignment horizontal="left"/>
      <protection hidden="1"/>
    </xf>
    <xf numFmtId="49" fontId="6" fillId="0" borderId="7" xfId="0" applyNumberFormat="1" applyFont="1" applyBorder="1" applyAlignment="1" applyProtection="1">
      <alignment horizontal="left"/>
      <protection hidden="1"/>
    </xf>
    <xf numFmtId="49" fontId="6" fillId="0" borderId="3" xfId="0" applyNumberFormat="1" applyFont="1" applyBorder="1" applyAlignment="1" applyProtection="1">
      <alignment horizontal="left"/>
      <protection hidden="1"/>
    </xf>
    <xf numFmtId="10" fontId="6" fillId="0" borderId="6" xfId="2" applyNumberFormat="1" applyFont="1" applyBorder="1" applyAlignment="1" applyProtection="1">
      <alignment horizontal="center"/>
      <protection hidden="1"/>
    </xf>
    <xf numFmtId="10" fontId="6" fillId="0" borderId="3" xfId="2" applyNumberFormat="1" applyFont="1" applyBorder="1" applyAlignment="1" applyProtection="1">
      <alignment horizontal="center"/>
      <protection hidden="1"/>
    </xf>
    <xf numFmtId="10" fontId="6" fillId="0" borderId="6" xfId="0" applyNumberFormat="1" applyFont="1" applyBorder="1" applyAlignment="1" applyProtection="1">
      <alignment horizontal="center"/>
      <protection hidden="1"/>
    </xf>
    <xf numFmtId="10" fontId="6" fillId="0" borderId="3" xfId="0" applyNumberFormat="1" applyFont="1" applyBorder="1" applyAlignment="1" applyProtection="1">
      <alignment horizontal="center"/>
      <protection hidden="1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13" fillId="4" borderId="8" xfId="0" applyFont="1" applyFill="1" applyBorder="1" applyAlignment="1" applyProtection="1">
      <alignment horizontal="center" vertical="top" wrapText="1"/>
      <protection hidden="1"/>
    </xf>
    <xf numFmtId="0" fontId="13" fillId="4" borderId="9" xfId="0" applyFont="1" applyFill="1" applyBorder="1" applyAlignment="1" applyProtection="1">
      <alignment horizontal="center" vertical="top" wrapText="1"/>
      <protection hidden="1"/>
    </xf>
    <xf numFmtId="0" fontId="13" fillId="4" borderId="10" xfId="0" applyFont="1" applyFill="1" applyBorder="1" applyAlignment="1" applyProtection="1">
      <alignment horizontal="center" vertical="top" wrapText="1"/>
      <protection hidden="1"/>
    </xf>
    <xf numFmtId="0" fontId="13" fillId="4" borderId="11" xfId="0" applyFont="1" applyFill="1" applyBorder="1" applyAlignment="1" applyProtection="1">
      <alignment horizontal="center" vertical="top" wrapText="1"/>
      <protection hidden="1"/>
    </xf>
    <xf numFmtId="0" fontId="13" fillId="4" borderId="0" xfId="0" applyFont="1" applyFill="1" applyAlignment="1" applyProtection="1">
      <alignment horizontal="center" vertical="top" wrapText="1"/>
      <protection hidden="1"/>
    </xf>
    <xf numFmtId="0" fontId="13" fillId="4" borderId="12" xfId="0" applyFont="1" applyFill="1" applyBorder="1" applyAlignment="1" applyProtection="1">
      <alignment horizontal="center" vertical="top" wrapText="1"/>
      <protection hidden="1"/>
    </xf>
    <xf numFmtId="0" fontId="13" fillId="4" borderId="13" xfId="0" applyFont="1" applyFill="1" applyBorder="1" applyAlignment="1" applyProtection="1">
      <alignment horizontal="center" vertical="top" wrapText="1"/>
      <protection hidden="1"/>
    </xf>
    <xf numFmtId="0" fontId="13" fillId="4" borderId="14" xfId="0" applyFont="1" applyFill="1" applyBorder="1" applyAlignment="1" applyProtection="1">
      <alignment horizontal="center" vertical="top" wrapText="1"/>
      <protection hidden="1"/>
    </xf>
    <xf numFmtId="0" fontId="13" fillId="4" borderId="15" xfId="0" applyFont="1" applyFill="1" applyBorder="1" applyAlignment="1" applyProtection="1">
      <alignment horizontal="center" vertical="top" wrapText="1"/>
      <protection hidden="1"/>
    </xf>
    <xf numFmtId="0" fontId="15" fillId="2" borderId="6" xfId="0" applyFont="1" applyFill="1" applyBorder="1" applyAlignment="1" applyProtection="1">
      <alignment horizontal="center"/>
      <protection hidden="1"/>
    </xf>
    <xf numFmtId="0" fontId="15" fillId="2" borderId="7" xfId="0" applyFont="1" applyFill="1" applyBorder="1" applyAlignment="1" applyProtection="1">
      <alignment horizontal="center"/>
      <protection hidden="1"/>
    </xf>
    <xf numFmtId="0" fontId="15" fillId="2" borderId="3" xfId="0" applyFont="1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left"/>
      <protection hidden="1"/>
    </xf>
    <xf numFmtId="166" fontId="6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hidden="1"/>
    </xf>
    <xf numFmtId="0" fontId="6" fillId="0" borderId="6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horizontal="center" vertical="center" wrapText="1"/>
      <protection hidden="1"/>
    </xf>
    <xf numFmtId="44" fontId="6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/>
      <protection hidden="1"/>
    </xf>
    <xf numFmtId="44" fontId="6" fillId="0" borderId="6" xfId="0" applyNumberFormat="1" applyFont="1" applyBorder="1" applyAlignment="1" applyProtection="1">
      <alignment horizontal="center"/>
      <protection hidden="1"/>
    </xf>
    <xf numFmtId="44" fontId="6" fillId="0" borderId="3" xfId="0" applyNumberFormat="1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166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left"/>
      <protection hidden="1"/>
    </xf>
    <xf numFmtId="0" fontId="6" fillId="0" borderId="14" xfId="0" applyFont="1" applyBorder="1" applyAlignment="1" applyProtection="1">
      <alignment horizontal="left"/>
      <protection hidden="1"/>
    </xf>
    <xf numFmtId="0" fontId="6" fillId="0" borderId="15" xfId="0" applyFont="1" applyBorder="1" applyAlignment="1" applyProtection="1">
      <alignment horizontal="left"/>
      <protection hidden="1"/>
    </xf>
    <xf numFmtId="0" fontId="6" fillId="2" borderId="8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10" fontId="7" fillId="2" borderId="1" xfId="0" applyNumberFormat="1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0" fontId="20" fillId="4" borderId="8" xfId="0" applyFont="1" applyFill="1" applyBorder="1" applyAlignment="1" applyProtection="1">
      <alignment horizontal="center" vertical="top" wrapText="1"/>
      <protection hidden="1"/>
    </xf>
    <xf numFmtId="0" fontId="20" fillId="4" borderId="9" xfId="0" applyFont="1" applyFill="1" applyBorder="1" applyAlignment="1" applyProtection="1">
      <alignment horizontal="center" vertical="top" wrapText="1"/>
      <protection hidden="1"/>
    </xf>
    <xf numFmtId="0" fontId="20" fillId="4" borderId="10" xfId="0" applyFont="1" applyFill="1" applyBorder="1" applyAlignment="1" applyProtection="1">
      <alignment horizontal="center" vertical="top" wrapText="1"/>
      <protection hidden="1"/>
    </xf>
    <xf numFmtId="0" fontId="20" fillId="4" borderId="11" xfId="0" applyFont="1" applyFill="1" applyBorder="1" applyAlignment="1" applyProtection="1">
      <alignment horizontal="center" vertical="top" wrapText="1"/>
      <protection hidden="1"/>
    </xf>
    <xf numFmtId="0" fontId="20" fillId="4" borderId="0" xfId="0" applyFont="1" applyFill="1" applyAlignment="1" applyProtection="1">
      <alignment horizontal="center" vertical="top" wrapText="1"/>
      <protection hidden="1"/>
    </xf>
    <xf numFmtId="0" fontId="20" fillId="4" borderId="12" xfId="0" applyFont="1" applyFill="1" applyBorder="1" applyAlignment="1" applyProtection="1">
      <alignment horizontal="center" vertical="top" wrapText="1"/>
      <protection hidden="1"/>
    </xf>
    <xf numFmtId="0" fontId="20" fillId="4" borderId="13" xfId="0" applyFont="1" applyFill="1" applyBorder="1" applyAlignment="1" applyProtection="1">
      <alignment horizontal="center" vertical="top" wrapText="1"/>
      <protection hidden="1"/>
    </xf>
    <xf numFmtId="0" fontId="20" fillId="4" borderId="14" xfId="0" applyFont="1" applyFill="1" applyBorder="1" applyAlignment="1" applyProtection="1">
      <alignment horizontal="center" vertical="top" wrapText="1"/>
      <protection hidden="1"/>
    </xf>
    <xf numFmtId="0" fontId="20" fillId="4" borderId="15" xfId="0" applyFont="1" applyFill="1" applyBorder="1" applyAlignment="1" applyProtection="1">
      <alignment horizontal="center" vertical="top" wrapText="1"/>
      <protection hidden="1"/>
    </xf>
    <xf numFmtId="0" fontId="22" fillId="2" borderId="1" xfId="0" applyFont="1" applyFill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6" fillId="0" borderId="15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1" fillId="5" borderId="0" xfId="0" applyFont="1" applyFill="1" applyAlignment="1" applyProtection="1">
      <alignment horizontal="center" vertical="center" wrapText="1"/>
      <protection hidden="1"/>
    </xf>
    <xf numFmtId="0" fontId="4" fillId="5" borderId="0" xfId="0" applyFont="1" applyFill="1" applyAlignment="1" applyProtection="1">
      <alignment horizontal="center"/>
      <protection hidden="1"/>
    </xf>
    <xf numFmtId="0" fontId="4" fillId="5" borderId="1" xfId="0" applyFont="1" applyFill="1" applyBorder="1" applyAlignment="1" applyProtection="1">
      <alignment horizontal="center"/>
      <protection hidden="1"/>
    </xf>
    <xf numFmtId="0" fontId="16" fillId="5" borderId="1" xfId="0" applyFont="1" applyFill="1" applyBorder="1" applyAlignment="1" applyProtection="1">
      <alignment horizontal="center"/>
      <protection hidden="1"/>
    </xf>
    <xf numFmtId="0" fontId="16" fillId="6" borderId="1" xfId="0" applyFont="1" applyFill="1" applyBorder="1" applyAlignment="1" applyProtection="1">
      <alignment horizontal="center"/>
      <protection hidden="1"/>
    </xf>
    <xf numFmtId="0" fontId="16" fillId="6" borderId="8" xfId="0" applyFont="1" applyFill="1" applyBorder="1" applyAlignment="1" applyProtection="1">
      <alignment horizontal="left"/>
      <protection hidden="1"/>
    </xf>
    <xf numFmtId="0" fontId="16" fillId="6" borderId="9" xfId="0" applyFont="1" applyFill="1" applyBorder="1" applyAlignment="1" applyProtection="1">
      <alignment horizontal="left"/>
      <protection hidden="1"/>
    </xf>
    <xf numFmtId="0" fontId="16" fillId="6" borderId="10" xfId="0" applyFont="1" applyFill="1" applyBorder="1" applyAlignment="1" applyProtection="1">
      <alignment horizontal="left"/>
      <protection hidden="1"/>
    </xf>
    <xf numFmtId="165" fontId="8" fillId="6" borderId="11" xfId="0" applyNumberFormat="1" applyFont="1" applyFill="1" applyBorder="1" applyAlignment="1" applyProtection="1">
      <alignment horizontal="left" wrapText="1"/>
      <protection hidden="1"/>
    </xf>
    <xf numFmtId="165" fontId="8" fillId="6" borderId="0" xfId="0" applyNumberFormat="1" applyFont="1" applyFill="1" applyAlignment="1" applyProtection="1">
      <alignment horizontal="left" wrapText="1"/>
      <protection hidden="1"/>
    </xf>
    <xf numFmtId="165" fontId="8" fillId="6" borderId="12" xfId="0" applyNumberFormat="1" applyFont="1" applyFill="1" applyBorder="1" applyAlignment="1" applyProtection="1">
      <alignment horizontal="left" wrapText="1"/>
      <protection hidden="1"/>
    </xf>
    <xf numFmtId="165" fontId="8" fillId="6" borderId="13" xfId="0" applyNumberFormat="1" applyFont="1" applyFill="1" applyBorder="1" applyAlignment="1" applyProtection="1">
      <alignment horizontal="left" wrapText="1"/>
      <protection hidden="1"/>
    </xf>
    <xf numFmtId="165" fontId="8" fillId="6" borderId="14" xfId="0" applyNumberFormat="1" applyFont="1" applyFill="1" applyBorder="1" applyAlignment="1" applyProtection="1">
      <alignment horizontal="left" wrapText="1"/>
      <protection hidden="1"/>
    </xf>
    <xf numFmtId="165" fontId="8" fillId="6" borderId="15" xfId="0" applyNumberFormat="1" applyFont="1" applyFill="1" applyBorder="1" applyAlignment="1" applyProtection="1">
      <alignment horizontal="left" wrapText="1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0" fontId="16" fillId="5" borderId="4" xfId="0" applyFont="1" applyFill="1" applyBorder="1" applyAlignment="1" applyProtection="1">
      <alignment horizontal="center"/>
      <protection hidden="1"/>
    </xf>
    <xf numFmtId="0" fontId="16" fillId="5" borderId="1" xfId="0" applyFont="1" applyFill="1" applyBorder="1" applyAlignment="1" applyProtection="1">
      <alignment horizontal="center" vertical="center" wrapText="1"/>
      <protection hidden="1"/>
    </xf>
    <xf numFmtId="0" fontId="16" fillId="5" borderId="1" xfId="0" applyFont="1" applyFill="1" applyBorder="1" applyAlignment="1" applyProtection="1">
      <alignment horizontal="center" vertical="center"/>
      <protection hidden="1"/>
    </xf>
    <xf numFmtId="0" fontId="21" fillId="5" borderId="14" xfId="0" applyFont="1" applyFill="1" applyBorder="1" applyAlignment="1" applyProtection="1">
      <alignment horizontal="center" wrapText="1"/>
      <protection hidden="1"/>
    </xf>
  </cellXfs>
  <cellStyles count="3">
    <cellStyle name="Currency" xfId="1" builtinId="4"/>
    <cellStyle name="Normal" xfId="0" builtinId="0"/>
    <cellStyle name="Percent" xfId="2" builtinId="5"/>
  </cellStyles>
  <dxfs count="38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49377F"/>
      <color rgb="FF9B91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76200</xdr:rowOff>
    </xdr:from>
    <xdr:to>
      <xdr:col>3</xdr:col>
      <xdr:colOff>306439</xdr:colOff>
      <xdr:row>4</xdr:row>
      <xdr:rowOff>88900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50CABDE-7A7B-48B8-AECE-897791AC8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76200"/>
          <a:ext cx="2998839" cy="774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787400</xdr:colOff>
      <xdr:row>0</xdr:row>
      <xdr:rowOff>38100</xdr:rowOff>
    </xdr:from>
    <xdr:to>
      <xdr:col>4</xdr:col>
      <xdr:colOff>635000</xdr:colOff>
      <xdr:row>4</xdr:row>
      <xdr:rowOff>178329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646CCB-CB4A-139D-5DAD-1323A1925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38100"/>
          <a:ext cx="3492500" cy="9022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0</xdr:rowOff>
    </xdr:from>
    <xdr:to>
      <xdr:col>5</xdr:col>
      <xdr:colOff>740697</xdr:colOff>
      <xdr:row>4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A8CAC0-0A90-9B2B-1FE8-9353036D9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0"/>
          <a:ext cx="3687097" cy="952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0</xdr:row>
      <xdr:rowOff>0</xdr:rowOff>
    </xdr:from>
    <xdr:to>
      <xdr:col>6</xdr:col>
      <xdr:colOff>972165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EEB5BE-F2A1-C45E-FD81-3CFC5B4F0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0" y="0"/>
          <a:ext cx="3982065" cy="1028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Users/mdabkowski.MICHAELD/AppData/Local/Microsoft/Windows/INetCache/Content.Outlook/F1B51Z1G/fha_refinance_worksheets_090919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Users/mdabkowski.MICHAELD/Desktop/Current%20Work/FHA%20Refi.locked/Unlocked%20FH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te and Term Refinance "/>
      <sheetName val="Simple Refinance"/>
      <sheetName val="Streamline Refinance"/>
      <sheetName val="Streamline - Forbearance"/>
      <sheetName val="Net Tangible Worksheet"/>
      <sheetName val="Dropdow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te and Term Refinance "/>
      <sheetName val="Simple Refinance"/>
      <sheetName val="Streamline Refinance"/>
      <sheetName val="Streamline - Forbearance"/>
      <sheetName val="Net Tangible Worksheet"/>
      <sheetName val="Dropdow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8"/>
  <sheetViews>
    <sheetView showGridLines="0" workbookViewId="0">
      <selection activeCell="T26" sqref="T26"/>
    </sheetView>
  </sheetViews>
  <sheetFormatPr baseColWidth="10" defaultColWidth="9" defaultRowHeight="15" x14ac:dyDescent="0.2"/>
  <cols>
    <col min="1" max="1" width="23.5" style="11" bestFit="1" customWidth="1"/>
    <col min="2" max="5" width="9.1640625" style="11" customWidth="1"/>
    <col min="6" max="6" width="10.5" style="11" bestFit="1" customWidth="1"/>
    <col min="7" max="7" width="9.1640625" style="11" customWidth="1"/>
    <col min="8" max="8" width="2.1640625" style="11" customWidth="1"/>
    <col min="9" max="9" width="13.5" style="11" customWidth="1"/>
    <col min="10" max="16384" width="9" style="12"/>
  </cols>
  <sheetData>
    <row r="1" spans="1:19" x14ac:dyDescent="0.2">
      <c r="E1" s="152" t="s">
        <v>0</v>
      </c>
      <c r="F1" s="152"/>
      <c r="G1" s="152"/>
      <c r="H1" s="152"/>
      <c r="I1" s="152"/>
      <c r="K1" s="57" t="s">
        <v>1</v>
      </c>
      <c r="L1" s="58"/>
      <c r="M1" s="58"/>
      <c r="N1" s="58"/>
      <c r="O1" s="58"/>
      <c r="P1" s="58"/>
      <c r="Q1" s="58"/>
      <c r="R1" s="58"/>
      <c r="S1" s="58"/>
    </row>
    <row r="2" spans="1:19" x14ac:dyDescent="0.2">
      <c r="E2" s="152"/>
      <c r="F2" s="152"/>
      <c r="G2" s="152"/>
      <c r="H2" s="152"/>
      <c r="I2" s="152"/>
      <c r="K2" s="58"/>
      <c r="L2" s="58"/>
      <c r="M2" s="58"/>
      <c r="N2" s="58"/>
      <c r="O2" s="58"/>
      <c r="P2" s="58"/>
      <c r="Q2" s="58"/>
      <c r="R2" s="58"/>
      <c r="S2" s="58"/>
    </row>
    <row r="3" spans="1:19" x14ac:dyDescent="0.2">
      <c r="E3" s="152"/>
      <c r="F3" s="152"/>
      <c r="G3" s="152"/>
      <c r="H3" s="152"/>
      <c r="I3" s="152"/>
      <c r="K3" s="58"/>
      <c r="L3" s="58"/>
      <c r="M3" s="58"/>
      <c r="N3" s="58"/>
      <c r="O3" s="58"/>
      <c r="P3" s="58"/>
      <c r="Q3" s="58"/>
      <c r="R3" s="58"/>
      <c r="S3" s="58"/>
    </row>
    <row r="4" spans="1:19" x14ac:dyDescent="0.2">
      <c r="E4" s="152"/>
      <c r="F4" s="152"/>
      <c r="G4" s="152"/>
      <c r="H4" s="152"/>
      <c r="I4" s="152"/>
      <c r="K4" s="58"/>
      <c r="L4" s="58"/>
      <c r="M4" s="58"/>
      <c r="N4" s="58"/>
      <c r="O4" s="58"/>
      <c r="P4" s="58"/>
      <c r="Q4" s="58"/>
      <c r="R4" s="58"/>
      <c r="S4" s="58"/>
    </row>
    <row r="5" spans="1:19" x14ac:dyDescent="0.2">
      <c r="E5" s="152"/>
      <c r="F5" s="152"/>
      <c r="G5" s="152"/>
      <c r="H5" s="152"/>
      <c r="I5" s="152"/>
      <c r="K5" s="58"/>
      <c r="L5" s="58"/>
      <c r="M5" s="58"/>
      <c r="N5" s="58"/>
      <c r="O5" s="58"/>
      <c r="P5" s="58"/>
      <c r="Q5" s="58"/>
      <c r="R5" s="58"/>
      <c r="S5" s="58"/>
    </row>
    <row r="6" spans="1:19" x14ac:dyDescent="0.2">
      <c r="A6" s="13" t="s">
        <v>2</v>
      </c>
      <c r="B6" s="64"/>
      <c r="C6" s="64"/>
      <c r="E6" s="63" t="s">
        <v>3</v>
      </c>
      <c r="F6" s="63"/>
      <c r="G6" s="72"/>
      <c r="H6" s="73"/>
      <c r="I6" s="74"/>
      <c r="K6" s="58"/>
      <c r="L6" s="58"/>
      <c r="M6" s="58"/>
      <c r="N6" s="58"/>
      <c r="O6" s="58"/>
      <c r="P6" s="58"/>
      <c r="Q6" s="58"/>
      <c r="R6" s="58"/>
      <c r="S6" s="58"/>
    </row>
    <row r="7" spans="1:19" x14ac:dyDescent="0.2">
      <c r="E7" s="63" t="s">
        <v>4</v>
      </c>
      <c r="F7" s="63"/>
      <c r="G7" s="72"/>
      <c r="H7" s="73"/>
      <c r="I7" s="74"/>
    </row>
    <row r="8" spans="1:19" x14ac:dyDescent="0.2">
      <c r="A8" s="153" t="s">
        <v>5</v>
      </c>
      <c r="B8" s="153"/>
      <c r="C8" s="153"/>
      <c r="D8" s="153"/>
      <c r="E8" s="153"/>
      <c r="F8" s="153"/>
      <c r="G8" s="153"/>
      <c r="H8" s="153"/>
      <c r="I8" s="153"/>
    </row>
    <row r="9" spans="1:19" ht="46.5" customHeight="1" x14ac:dyDescent="0.35">
      <c r="A9" s="27" t="s">
        <v>6</v>
      </c>
      <c r="B9" s="65"/>
      <c r="C9" s="65"/>
      <c r="D9" s="75" t="s">
        <v>7</v>
      </c>
      <c r="E9" s="75"/>
      <c r="F9" s="75"/>
      <c r="G9" s="75"/>
      <c r="H9" s="65"/>
      <c r="I9" s="65"/>
      <c r="K9" s="59" t="s">
        <v>8</v>
      </c>
      <c r="L9" s="59"/>
      <c r="M9" s="59"/>
      <c r="N9" s="59"/>
      <c r="O9" s="59"/>
      <c r="P9" s="59"/>
      <c r="Q9" s="59"/>
      <c r="R9" s="59"/>
      <c r="S9" s="59"/>
    </row>
    <row r="10" spans="1:19" ht="37.5" customHeight="1" x14ac:dyDescent="0.2">
      <c r="A10" s="34" t="s">
        <v>9</v>
      </c>
      <c r="B10" s="70" t="s">
        <v>10</v>
      </c>
      <c r="C10" s="71"/>
      <c r="D10" s="66" t="s">
        <v>11</v>
      </c>
      <c r="E10" s="66"/>
      <c r="F10" s="66"/>
      <c r="G10" s="66"/>
      <c r="H10" s="67"/>
      <c r="I10" s="67"/>
    </row>
    <row r="11" spans="1:19" x14ac:dyDescent="0.2">
      <c r="A11" s="68" t="s">
        <v>12</v>
      </c>
      <c r="B11" s="68"/>
      <c r="C11" s="68"/>
      <c r="D11" s="68"/>
      <c r="E11" s="68"/>
      <c r="F11" s="68"/>
      <c r="G11" s="68"/>
      <c r="H11" s="69" t="s">
        <v>13</v>
      </c>
      <c r="I11" s="69"/>
    </row>
    <row r="12" spans="1:19" x14ac:dyDescent="0.2">
      <c r="A12" s="154" t="s">
        <v>14</v>
      </c>
      <c r="B12" s="154"/>
      <c r="C12" s="154"/>
      <c r="D12" s="154"/>
      <c r="E12" s="154"/>
      <c r="F12" s="154"/>
      <c r="G12" s="154"/>
      <c r="H12" s="154"/>
      <c r="I12" s="154"/>
    </row>
    <row r="13" spans="1:19" x14ac:dyDescent="0.2">
      <c r="A13" s="63" t="s">
        <v>15</v>
      </c>
      <c r="B13" s="63"/>
      <c r="C13" s="63"/>
      <c r="D13" s="63"/>
      <c r="E13" s="63"/>
      <c r="F13" s="63"/>
      <c r="G13" s="63"/>
      <c r="H13" s="63"/>
      <c r="I13" s="63"/>
    </row>
    <row r="14" spans="1:19" x14ac:dyDescent="0.2">
      <c r="A14" s="60" t="s">
        <v>16</v>
      </c>
      <c r="B14" s="61"/>
      <c r="C14" s="61"/>
      <c r="D14" s="61"/>
      <c r="E14" s="61"/>
      <c r="F14" s="61"/>
      <c r="G14" s="62"/>
      <c r="H14" s="19"/>
      <c r="I14" s="8"/>
    </row>
    <row r="15" spans="1:19" x14ac:dyDescent="0.2">
      <c r="A15" s="60" t="s">
        <v>17</v>
      </c>
      <c r="B15" s="61"/>
      <c r="C15" s="61"/>
      <c r="D15" s="61"/>
      <c r="E15" s="61"/>
      <c r="F15" s="61"/>
      <c r="G15" s="62"/>
      <c r="H15" s="21"/>
      <c r="I15" s="8"/>
    </row>
    <row r="16" spans="1:19" x14ac:dyDescent="0.2">
      <c r="A16" s="60" t="s">
        <v>18</v>
      </c>
      <c r="B16" s="61"/>
      <c r="C16" s="61"/>
      <c r="D16" s="61"/>
      <c r="E16" s="61"/>
      <c r="F16" s="61"/>
      <c r="G16" s="62"/>
      <c r="H16" s="21"/>
      <c r="I16" s="8"/>
    </row>
    <row r="17" spans="1:9" x14ac:dyDescent="0.2">
      <c r="A17" s="60" t="s">
        <v>19</v>
      </c>
      <c r="B17" s="61"/>
      <c r="C17" s="61"/>
      <c r="D17" s="61"/>
      <c r="E17" s="61"/>
      <c r="F17" s="61"/>
      <c r="G17" s="62"/>
      <c r="H17" s="21"/>
      <c r="I17" s="8"/>
    </row>
    <row r="18" spans="1:9" x14ac:dyDescent="0.2">
      <c r="A18" s="60" t="s">
        <v>20</v>
      </c>
      <c r="B18" s="61"/>
      <c r="C18" s="61"/>
      <c r="D18" s="61"/>
      <c r="E18" s="61"/>
      <c r="F18" s="61"/>
      <c r="G18" s="62"/>
      <c r="H18" s="24"/>
      <c r="I18" s="8"/>
    </row>
    <row r="19" spans="1:9" x14ac:dyDescent="0.2">
      <c r="A19" s="156" t="s">
        <v>21</v>
      </c>
      <c r="B19" s="156"/>
      <c r="C19" s="156"/>
      <c r="D19" s="156"/>
      <c r="E19" s="156"/>
      <c r="F19" s="156"/>
      <c r="G19" s="156"/>
      <c r="H19" s="156"/>
      <c r="I19" s="156"/>
    </row>
    <row r="20" spans="1:9" ht="33.75" customHeight="1" x14ac:dyDescent="0.2">
      <c r="A20" s="76" t="s">
        <v>22</v>
      </c>
      <c r="B20" s="76"/>
      <c r="C20" s="76"/>
      <c r="D20" s="76"/>
      <c r="E20" s="76"/>
      <c r="F20" s="76"/>
      <c r="G20" s="76"/>
      <c r="H20" s="19"/>
      <c r="I20" s="8"/>
    </row>
    <row r="21" spans="1:9" x14ac:dyDescent="0.2">
      <c r="A21" s="60" t="s">
        <v>23</v>
      </c>
      <c r="B21" s="61"/>
      <c r="C21" s="61"/>
      <c r="D21" s="61"/>
      <c r="E21" s="61"/>
      <c r="F21" s="61"/>
      <c r="G21" s="62"/>
      <c r="H21" s="21"/>
      <c r="I21" s="8"/>
    </row>
    <row r="22" spans="1:9" x14ac:dyDescent="0.2">
      <c r="A22" s="60" t="s">
        <v>24</v>
      </c>
      <c r="B22" s="61"/>
      <c r="C22" s="61"/>
      <c r="D22" s="61"/>
      <c r="E22" s="61"/>
      <c r="F22" s="61"/>
      <c r="G22" s="62"/>
      <c r="H22" s="21"/>
      <c r="I22" s="8"/>
    </row>
    <row r="23" spans="1:9" x14ac:dyDescent="0.2">
      <c r="A23" s="60" t="s">
        <v>25</v>
      </c>
      <c r="B23" s="61"/>
      <c r="C23" s="61"/>
      <c r="D23" s="61"/>
      <c r="E23" s="61"/>
      <c r="F23" s="61"/>
      <c r="G23" s="62"/>
      <c r="H23" s="21"/>
      <c r="I23" s="8"/>
    </row>
    <row r="24" spans="1:9" x14ac:dyDescent="0.2">
      <c r="A24" s="60" t="s">
        <v>26</v>
      </c>
      <c r="B24" s="61"/>
      <c r="C24" s="61"/>
      <c r="D24" s="61"/>
      <c r="E24" s="61"/>
      <c r="F24" s="61"/>
      <c r="G24" s="62"/>
      <c r="H24" s="21"/>
      <c r="I24" s="8"/>
    </row>
    <row r="25" spans="1:9" x14ac:dyDescent="0.2">
      <c r="A25" s="60" t="s">
        <v>27</v>
      </c>
      <c r="B25" s="61"/>
      <c r="C25" s="61"/>
      <c r="D25" s="61"/>
      <c r="E25" s="61"/>
      <c r="F25" s="61"/>
      <c r="G25" s="62"/>
      <c r="H25" s="21"/>
      <c r="I25" s="8"/>
    </row>
    <row r="26" spans="1:9" x14ac:dyDescent="0.2">
      <c r="A26" s="60" t="s">
        <v>28</v>
      </c>
      <c r="B26" s="61"/>
      <c r="C26" s="61"/>
      <c r="D26" s="61"/>
      <c r="E26" s="61"/>
      <c r="F26" s="61"/>
      <c r="G26" s="62"/>
      <c r="H26" s="21"/>
      <c r="I26" s="8"/>
    </row>
    <row r="27" spans="1:9" x14ac:dyDescent="0.2">
      <c r="A27" s="60" t="s">
        <v>29</v>
      </c>
      <c r="B27" s="61"/>
      <c r="C27" s="61"/>
      <c r="D27" s="61"/>
      <c r="E27" s="61"/>
      <c r="F27" s="61"/>
      <c r="G27" s="62"/>
      <c r="H27" s="21"/>
      <c r="I27" s="8"/>
    </row>
    <row r="28" spans="1:9" x14ac:dyDescent="0.2">
      <c r="A28" s="60" t="s">
        <v>30</v>
      </c>
      <c r="B28" s="61"/>
      <c r="C28" s="61"/>
      <c r="D28" s="61"/>
      <c r="E28" s="61"/>
      <c r="F28" s="61"/>
      <c r="G28" s="62"/>
      <c r="H28" s="21"/>
      <c r="I28" s="20" t="str">
        <f>IF(B9="","",ROUNDDOWN(SUM(B9,I14:I18,I20:I26)-I27,0))</f>
        <v/>
      </c>
    </row>
    <row r="29" spans="1:9" x14ac:dyDescent="0.2">
      <c r="A29" s="60" t="s">
        <v>31</v>
      </c>
      <c r="B29" s="61"/>
      <c r="C29" s="61"/>
      <c r="D29" s="61"/>
      <c r="E29" s="61"/>
      <c r="F29" s="61"/>
      <c r="G29" s="62"/>
      <c r="H29" s="21"/>
      <c r="I29" s="15">
        <f>H10</f>
        <v>0</v>
      </c>
    </row>
    <row r="30" spans="1:9" x14ac:dyDescent="0.2">
      <c r="A30" s="60" t="s">
        <v>32</v>
      </c>
      <c r="B30" s="61"/>
      <c r="C30" s="61"/>
      <c r="D30" s="61"/>
      <c r="E30" s="61"/>
      <c r="F30" s="61"/>
      <c r="G30" s="62"/>
      <c r="H30" s="21"/>
      <c r="I30" s="20" t="str">
        <f>IF(B9="","",ROUNDDOWN(B9+I14+I15+I16+I17+I18+I20+I21+I22+I23+I24+I25+I26-I27-I29,0))</f>
        <v/>
      </c>
    </row>
    <row r="31" spans="1:9" x14ac:dyDescent="0.2">
      <c r="A31" s="78" t="s">
        <v>33</v>
      </c>
      <c r="B31" s="79"/>
      <c r="C31" s="79"/>
      <c r="D31" s="79"/>
      <c r="E31" s="79"/>
      <c r="F31" s="79"/>
      <c r="G31" s="35" t="str">
        <f>B10</f>
        <v>(Select UFMIP Rate)</v>
      </c>
      <c r="H31" s="36"/>
      <c r="I31" s="20" t="str">
        <f>IF(B10="(Select UFMIP Rate)","", IF(B9="","",ROUNDDOWN(I30*G31,0)))</f>
        <v/>
      </c>
    </row>
    <row r="32" spans="1:9" x14ac:dyDescent="0.2">
      <c r="A32" s="78" t="s">
        <v>34</v>
      </c>
      <c r="B32" s="79"/>
      <c r="C32" s="79"/>
      <c r="D32" s="79"/>
      <c r="E32" s="79"/>
      <c r="F32" s="79"/>
      <c r="G32" s="80"/>
      <c r="H32" s="24"/>
      <c r="I32" s="20" t="str">
        <f>IF(B10="(Select UFMIP Rate)","Enter UFMIP",SUM(I30:I31))</f>
        <v>Enter UFMIP</v>
      </c>
    </row>
    <row r="33" spans="1:9" x14ac:dyDescent="0.2">
      <c r="A33" s="153" t="s">
        <v>35</v>
      </c>
      <c r="B33" s="153"/>
      <c r="C33" s="153"/>
      <c r="D33" s="153"/>
      <c r="E33" s="153"/>
      <c r="F33" s="153"/>
      <c r="G33" s="153"/>
      <c r="H33" s="153"/>
      <c r="I33" s="153"/>
    </row>
    <row r="34" spans="1:9" ht="24.75" customHeight="1" x14ac:dyDescent="0.2">
      <c r="A34" s="76" t="s">
        <v>36</v>
      </c>
      <c r="B34" s="76"/>
      <c r="C34" s="76"/>
      <c r="D34" s="76"/>
      <c r="E34" s="76"/>
      <c r="F34" s="37" t="str">
        <f>IF(H9="","Enter Appraised Value",H9)</f>
        <v>Enter Appraised Value</v>
      </c>
      <c r="G34" s="13" t="s">
        <v>37</v>
      </c>
      <c r="H34" s="13"/>
      <c r="I34" s="15" t="str">
        <f>IF(H9="","",F34*97.75%)</f>
        <v/>
      </c>
    </row>
    <row r="35" spans="1:9" x14ac:dyDescent="0.2">
      <c r="A35" s="60" t="s">
        <v>30</v>
      </c>
      <c r="B35" s="61"/>
      <c r="C35" s="61"/>
      <c r="D35" s="61"/>
      <c r="E35" s="61"/>
      <c r="F35" s="61"/>
      <c r="G35" s="62"/>
      <c r="H35" s="13"/>
      <c r="I35" s="15" t="str">
        <f>I34</f>
        <v/>
      </c>
    </row>
    <row r="36" spans="1:9" x14ac:dyDescent="0.2">
      <c r="A36" s="60" t="s">
        <v>38</v>
      </c>
      <c r="B36" s="61"/>
      <c r="C36" s="61"/>
      <c r="D36" s="61"/>
      <c r="E36" s="61"/>
      <c r="F36" s="61"/>
      <c r="G36" s="62"/>
      <c r="H36" s="13"/>
      <c r="I36" s="15">
        <f>H10</f>
        <v>0</v>
      </c>
    </row>
    <row r="37" spans="1:9" x14ac:dyDescent="0.2">
      <c r="A37" s="60" t="s">
        <v>39</v>
      </c>
      <c r="B37" s="61"/>
      <c r="C37" s="61"/>
      <c r="D37" s="61"/>
      <c r="E37" s="61"/>
      <c r="F37" s="61"/>
      <c r="G37" s="62"/>
      <c r="H37" s="38"/>
      <c r="I37" s="15" t="str">
        <f>IF(H9="","",ROUNDDOWN(I34-I36,0))</f>
        <v/>
      </c>
    </row>
    <row r="38" spans="1:9" x14ac:dyDescent="0.2">
      <c r="A38" s="78" t="s">
        <v>40</v>
      </c>
      <c r="B38" s="79"/>
      <c r="C38" s="79"/>
      <c r="D38" s="79"/>
      <c r="E38" s="79"/>
      <c r="F38" s="79"/>
      <c r="G38" s="16" t="str">
        <f>B10</f>
        <v>(Select UFMIP Rate)</v>
      </c>
      <c r="H38" s="38"/>
      <c r="I38" s="15" t="str">
        <f>IF(B10="(Select UFMIP Rate)","",IF(H9="", "",ROUNDDOWN(G38*I37,0)))</f>
        <v/>
      </c>
    </row>
    <row r="39" spans="1:9" x14ac:dyDescent="0.2">
      <c r="A39" s="78" t="s">
        <v>41</v>
      </c>
      <c r="B39" s="79"/>
      <c r="C39" s="79"/>
      <c r="D39" s="79"/>
      <c r="E39" s="79"/>
      <c r="F39" s="79"/>
      <c r="G39" s="80"/>
      <c r="H39" s="13"/>
      <c r="I39" s="39" t="str">
        <f>IF(H9="","",SUM(I37:I38))</f>
        <v/>
      </c>
    </row>
    <row r="40" spans="1:9" x14ac:dyDescent="0.2">
      <c r="A40" s="153" t="s">
        <v>42</v>
      </c>
      <c r="B40" s="153"/>
      <c r="C40" s="153"/>
      <c r="D40" s="153"/>
      <c r="E40" s="153"/>
      <c r="F40" s="153"/>
      <c r="G40" s="153"/>
      <c r="H40" s="153"/>
      <c r="I40" s="153"/>
    </row>
    <row r="41" spans="1:9" x14ac:dyDescent="0.2">
      <c r="A41" s="60" t="s">
        <v>43</v>
      </c>
      <c r="B41" s="61"/>
      <c r="C41" s="61"/>
      <c r="D41" s="61"/>
      <c r="E41" s="61"/>
      <c r="F41" s="62"/>
      <c r="G41" s="81" t="str">
        <f>B10</f>
        <v>(Select UFMIP Rate)</v>
      </c>
      <c r="H41" s="82"/>
      <c r="I41" s="40" t="str">
        <f>IF(B10="Enter UFMIP Rate Above","",IF(B9="","",ROUNDDOWN(G41*I44,0)))</f>
        <v/>
      </c>
    </row>
    <row r="42" spans="1:9" x14ac:dyDescent="0.2">
      <c r="A42" s="156" t="s">
        <v>44</v>
      </c>
      <c r="B42" s="156"/>
      <c r="C42" s="156"/>
      <c r="D42" s="156"/>
      <c r="E42" s="156"/>
      <c r="F42" s="156"/>
      <c r="G42" s="156"/>
      <c r="H42" s="156"/>
      <c r="I42" s="40">
        <f>H10</f>
        <v>0</v>
      </c>
    </row>
    <row r="43" spans="1:9" x14ac:dyDescent="0.2">
      <c r="A43" s="77" t="s">
        <v>45</v>
      </c>
      <c r="B43" s="77"/>
      <c r="C43" s="77"/>
      <c r="D43" s="77"/>
      <c r="E43" s="77"/>
      <c r="F43" s="77"/>
      <c r="G43" s="77"/>
      <c r="H43" s="77"/>
      <c r="I43" s="40" t="str">
        <f>IF(H9="","",IF(H9="","",IF(B9="","",IF(I28&lt;I37,I28,IF(I37&lt;I28,I35)))))</f>
        <v/>
      </c>
    </row>
    <row r="44" spans="1:9" x14ac:dyDescent="0.2">
      <c r="A44" s="156" t="s">
        <v>46</v>
      </c>
      <c r="B44" s="156"/>
      <c r="C44" s="156"/>
      <c r="D44" s="156"/>
      <c r="E44" s="156"/>
      <c r="F44" s="156"/>
      <c r="G44" s="156"/>
      <c r="H44" s="156"/>
      <c r="I44" s="40" t="str">
        <f>IF(H9="","",IF(B9="","",ROUNDDOWN(I43-I42,0)))</f>
        <v/>
      </c>
    </row>
    <row r="45" spans="1:9" x14ac:dyDescent="0.2">
      <c r="A45" s="77" t="s">
        <v>47</v>
      </c>
      <c r="B45" s="77"/>
      <c r="C45" s="77"/>
      <c r="D45" s="77"/>
      <c r="E45" s="77"/>
      <c r="F45" s="77"/>
      <c r="G45" s="77"/>
      <c r="H45" s="77"/>
      <c r="I45" s="40" t="str">
        <f>IF(H9="","",IF(H9="","",IF(B10="(Select UFMIP Rate)","",IF(H11="(Select Month)","",MIN(I32,I39)))))</f>
        <v/>
      </c>
    </row>
    <row r="47" spans="1:9" ht="15" customHeight="1" x14ac:dyDescent="0.2">
      <c r="A47" s="153" t="s">
        <v>48</v>
      </c>
      <c r="B47" s="153"/>
      <c r="C47" s="153"/>
      <c r="D47" s="153"/>
      <c r="E47" s="153"/>
      <c r="F47" s="153"/>
      <c r="G47" s="153"/>
      <c r="H47" s="153"/>
      <c r="I47" s="41">
        <f>SUM(B9,I14,I15,I17,I16,I18)</f>
        <v>0</v>
      </c>
    </row>
    <row r="48" spans="1:9" x14ac:dyDescent="0.2">
      <c r="A48" s="42" t="s">
        <v>49</v>
      </c>
    </row>
  </sheetData>
  <sheetProtection sheet="1" formatCells="0" formatColumns="0" formatRows="0" insertColumns="0" insertRows="0" insertHyperlinks="0" deleteColumns="0" deleteRows="0" sort="0" autoFilter="0" pivotTables="0"/>
  <protectedRanges>
    <protectedRange sqref="E6:F6" name="Range1"/>
    <protectedRange sqref="E6" name="Range2"/>
    <protectedRange sqref="B9:C9" name="Range3"/>
    <protectedRange sqref="B6" name="Range4"/>
    <protectedRange sqref="A48" name="Range5"/>
    <protectedRange sqref="B6" name="Range6"/>
    <protectedRange sqref="A8:I8" name="Range7"/>
  </protectedRanges>
  <mergeCells count="53">
    <mergeCell ref="A47:H47"/>
    <mergeCell ref="E1:I5"/>
    <mergeCell ref="A41:F41"/>
    <mergeCell ref="G41:H41"/>
    <mergeCell ref="A38:F38"/>
    <mergeCell ref="A31:F31"/>
    <mergeCell ref="A29:G29"/>
    <mergeCell ref="A30:G30"/>
    <mergeCell ref="A32:G32"/>
    <mergeCell ref="A35:G35"/>
    <mergeCell ref="A45:H45"/>
    <mergeCell ref="A40:I40"/>
    <mergeCell ref="A36:G36"/>
    <mergeCell ref="A23:G23"/>
    <mergeCell ref="A24:G24"/>
    <mergeCell ref="A25:G25"/>
    <mergeCell ref="A43:H43"/>
    <mergeCell ref="A37:G37"/>
    <mergeCell ref="A39:G39"/>
    <mergeCell ref="A44:H44"/>
    <mergeCell ref="A26:G26"/>
    <mergeCell ref="A27:G27"/>
    <mergeCell ref="A28:G28"/>
    <mergeCell ref="A33:I33"/>
    <mergeCell ref="A34:E34"/>
    <mergeCell ref="A19:I19"/>
    <mergeCell ref="H9:I9"/>
    <mergeCell ref="A20:G20"/>
    <mergeCell ref="A18:G18"/>
    <mergeCell ref="A42:H42"/>
    <mergeCell ref="G6:I6"/>
    <mergeCell ref="G7:I7"/>
    <mergeCell ref="A14:G14"/>
    <mergeCell ref="A15:G15"/>
    <mergeCell ref="A16:G16"/>
    <mergeCell ref="A13:I13"/>
    <mergeCell ref="D9:G9"/>
    <mergeCell ref="K1:S6"/>
    <mergeCell ref="K9:S9"/>
    <mergeCell ref="A22:G22"/>
    <mergeCell ref="A12:I12"/>
    <mergeCell ref="E6:F6"/>
    <mergeCell ref="E7:F7"/>
    <mergeCell ref="B6:C6"/>
    <mergeCell ref="A8:I8"/>
    <mergeCell ref="B9:C9"/>
    <mergeCell ref="D10:G10"/>
    <mergeCell ref="H10:I10"/>
    <mergeCell ref="A11:G11"/>
    <mergeCell ref="H11:I11"/>
    <mergeCell ref="A17:G17"/>
    <mergeCell ref="B10:C10"/>
    <mergeCell ref="A21:G21"/>
  </mergeCells>
  <dataValidations count="2">
    <dataValidation type="list" allowBlank="1" showInputMessage="1" showErrorMessage="1" sqref="B10:C10" xr:uid="{00000000-0002-0000-0000-000000000000}">
      <formula1>"(Select UFMIP Rate),0.00%,0.01%,1.00%,1.5%,1.75%,2.00%,2.25%"</formula1>
    </dataValidation>
    <dataValidation type="list" allowBlank="1" showInputMessage="1" showErrorMessage="1" sqref="H11:I11" xr:uid="{00000000-0002-0000-0000-000001000000}">
      <formula1>"(Select Month),January,February,March,April,May,June,July,August,September,October,November,December"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6"/>
  <sheetViews>
    <sheetView showGridLines="0" workbookViewId="0">
      <selection activeCell="A42" sqref="A42:H42"/>
    </sheetView>
  </sheetViews>
  <sheetFormatPr baseColWidth="10" defaultColWidth="9.1640625" defaultRowHeight="15" x14ac:dyDescent="0.2"/>
  <cols>
    <col min="1" max="1" width="20.33203125" style="12" customWidth="1"/>
    <col min="2" max="4" width="9.1640625" style="12"/>
    <col min="5" max="6" width="9.1640625" style="12" customWidth="1"/>
    <col min="7" max="7" width="15.33203125" style="12" customWidth="1"/>
    <col min="8" max="8" width="3.33203125" style="12" customWidth="1"/>
    <col min="9" max="9" width="13.5" style="12" customWidth="1"/>
    <col min="10" max="16384" width="9.1640625" style="12"/>
  </cols>
  <sheetData>
    <row r="1" spans="1:19" ht="15" customHeight="1" x14ac:dyDescent="0.2">
      <c r="G1" s="152" t="s">
        <v>50</v>
      </c>
      <c r="H1" s="152"/>
      <c r="I1" s="152"/>
      <c r="J1" s="43"/>
      <c r="K1" s="57" t="s">
        <v>51</v>
      </c>
      <c r="L1" s="58"/>
      <c r="M1" s="58"/>
      <c r="N1" s="58"/>
      <c r="O1" s="58"/>
      <c r="P1" s="58"/>
      <c r="Q1" s="58"/>
      <c r="R1" s="58"/>
      <c r="S1" s="58"/>
    </row>
    <row r="2" spans="1:19" ht="15" customHeight="1" x14ac:dyDescent="0.2">
      <c r="G2" s="152"/>
      <c r="H2" s="152"/>
      <c r="I2" s="152"/>
      <c r="J2" s="43"/>
      <c r="K2" s="58"/>
      <c r="L2" s="58"/>
      <c r="M2" s="58"/>
      <c r="N2" s="58"/>
      <c r="O2" s="58"/>
      <c r="P2" s="58"/>
      <c r="Q2" s="58"/>
      <c r="R2" s="58"/>
      <c r="S2" s="58"/>
    </row>
    <row r="3" spans="1:19" ht="15" customHeight="1" x14ac:dyDescent="0.2">
      <c r="G3" s="152"/>
      <c r="H3" s="152"/>
      <c r="I3" s="152"/>
      <c r="J3" s="43"/>
      <c r="K3" s="58"/>
      <c r="L3" s="58"/>
      <c r="M3" s="58"/>
      <c r="N3" s="58"/>
      <c r="O3" s="58"/>
      <c r="P3" s="58"/>
      <c r="Q3" s="58"/>
      <c r="R3" s="58"/>
      <c r="S3" s="58"/>
    </row>
    <row r="4" spans="1:19" ht="15" customHeight="1" x14ac:dyDescent="0.2">
      <c r="G4" s="152"/>
      <c r="H4" s="152"/>
      <c r="I4" s="152"/>
      <c r="J4" s="43"/>
      <c r="K4" s="58"/>
      <c r="L4" s="58"/>
      <c r="M4" s="58"/>
      <c r="N4" s="58"/>
      <c r="O4" s="58"/>
      <c r="P4" s="58"/>
      <c r="Q4" s="58"/>
      <c r="R4" s="58"/>
      <c r="S4" s="58"/>
    </row>
    <row r="5" spans="1:19" ht="15" customHeight="1" x14ac:dyDescent="0.2">
      <c r="G5" s="152"/>
      <c r="H5" s="152"/>
      <c r="I5" s="152"/>
      <c r="J5" s="43"/>
      <c r="K5" s="58"/>
      <c r="L5" s="58"/>
      <c r="M5" s="58"/>
      <c r="N5" s="58"/>
      <c r="O5" s="58"/>
      <c r="P5" s="58"/>
      <c r="Q5" s="58"/>
      <c r="R5" s="58"/>
      <c r="S5" s="58"/>
    </row>
    <row r="6" spans="1:19" x14ac:dyDescent="0.2">
      <c r="A6" s="13" t="s">
        <v>2</v>
      </c>
      <c r="B6" s="64"/>
      <c r="C6" s="64"/>
      <c r="D6" s="11"/>
      <c r="E6" s="63" t="s">
        <v>52</v>
      </c>
      <c r="F6" s="63"/>
      <c r="G6" s="72"/>
      <c r="H6" s="73"/>
      <c r="I6" s="74"/>
      <c r="K6" s="58"/>
      <c r="L6" s="58"/>
      <c r="M6" s="58"/>
      <c r="N6" s="58"/>
      <c r="O6" s="58"/>
      <c r="P6" s="58"/>
      <c r="Q6" s="58"/>
      <c r="R6" s="58"/>
      <c r="S6" s="58"/>
    </row>
    <row r="7" spans="1:19" x14ac:dyDescent="0.2">
      <c r="A7" s="11"/>
      <c r="B7" s="11"/>
      <c r="C7" s="11"/>
      <c r="D7" s="11"/>
      <c r="E7" s="63" t="s">
        <v>4</v>
      </c>
      <c r="F7" s="63"/>
      <c r="G7" s="72"/>
      <c r="H7" s="73"/>
      <c r="I7" s="74"/>
    </row>
    <row r="8" spans="1:19" x14ac:dyDescent="0.2">
      <c r="A8" s="153" t="s">
        <v>5</v>
      </c>
      <c r="B8" s="153"/>
      <c r="C8" s="153"/>
      <c r="D8" s="153"/>
      <c r="E8" s="153"/>
      <c r="F8" s="153"/>
      <c r="G8" s="153"/>
      <c r="H8" s="153"/>
      <c r="I8" s="153"/>
    </row>
    <row r="9" spans="1:19" ht="48.75" customHeight="1" x14ac:dyDescent="0.35">
      <c r="A9" s="27" t="s">
        <v>6</v>
      </c>
      <c r="B9" s="65"/>
      <c r="C9" s="65"/>
      <c r="D9" s="75" t="s">
        <v>7</v>
      </c>
      <c r="E9" s="75"/>
      <c r="F9" s="75"/>
      <c r="G9" s="75"/>
      <c r="H9" s="65"/>
      <c r="I9" s="65"/>
      <c r="K9" s="59" t="s">
        <v>8</v>
      </c>
      <c r="L9" s="59"/>
      <c r="M9" s="59"/>
      <c r="N9" s="59"/>
      <c r="O9" s="59"/>
      <c r="P9" s="59"/>
      <c r="Q9" s="59"/>
      <c r="R9" s="59"/>
      <c r="S9" s="59"/>
    </row>
    <row r="10" spans="1:19" ht="36" customHeight="1" x14ac:dyDescent="0.2">
      <c r="A10" s="34" t="s">
        <v>9</v>
      </c>
      <c r="B10" s="70" t="s">
        <v>10</v>
      </c>
      <c r="C10" s="71"/>
      <c r="D10" s="66" t="s">
        <v>11</v>
      </c>
      <c r="E10" s="66"/>
      <c r="F10" s="66"/>
      <c r="G10" s="66"/>
      <c r="H10" s="67"/>
      <c r="I10" s="67"/>
    </row>
    <row r="11" spans="1:19" x14ac:dyDescent="0.2">
      <c r="A11" s="68" t="s">
        <v>12</v>
      </c>
      <c r="B11" s="68"/>
      <c r="C11" s="68"/>
      <c r="D11" s="68"/>
      <c r="E11" s="68"/>
      <c r="F11" s="68"/>
      <c r="G11" s="68"/>
      <c r="H11" s="69" t="s">
        <v>13</v>
      </c>
      <c r="I11" s="69"/>
    </row>
    <row r="12" spans="1:19" x14ac:dyDescent="0.2">
      <c r="A12" s="61" t="s">
        <v>53</v>
      </c>
      <c r="B12" s="61"/>
      <c r="C12" s="61"/>
      <c r="D12" s="62"/>
      <c r="E12" s="85" t="s">
        <v>54</v>
      </c>
      <c r="F12" s="85"/>
      <c r="G12" s="85"/>
      <c r="H12" s="85"/>
      <c r="I12" s="86"/>
    </row>
    <row r="13" spans="1:19" x14ac:dyDescent="0.2">
      <c r="A13" s="153" t="s">
        <v>55</v>
      </c>
      <c r="B13" s="153"/>
      <c r="C13" s="153"/>
      <c r="D13" s="153"/>
      <c r="E13" s="153"/>
      <c r="F13" s="153"/>
      <c r="G13" s="153"/>
      <c r="H13" s="153"/>
      <c r="I13" s="153"/>
    </row>
    <row r="14" spans="1:19" x14ac:dyDescent="0.2">
      <c r="A14" s="156" t="s">
        <v>56</v>
      </c>
      <c r="B14" s="156"/>
      <c r="C14" s="156"/>
      <c r="D14" s="156"/>
      <c r="E14" s="156"/>
      <c r="F14" s="156"/>
      <c r="G14" s="156"/>
      <c r="H14" s="156"/>
      <c r="I14" s="156"/>
    </row>
    <row r="15" spans="1:19" x14ac:dyDescent="0.2">
      <c r="A15" s="68" t="s">
        <v>57</v>
      </c>
      <c r="B15" s="68"/>
      <c r="C15" s="68"/>
      <c r="D15" s="68"/>
      <c r="E15" s="68"/>
      <c r="F15" s="68"/>
      <c r="G15" s="68"/>
      <c r="H15" s="44"/>
      <c r="I15" s="45" t="str">
        <f>IF(H9="","",H9)</f>
        <v/>
      </c>
    </row>
    <row r="16" spans="1:19" x14ac:dyDescent="0.2">
      <c r="A16" s="68" t="s">
        <v>58</v>
      </c>
      <c r="B16" s="68"/>
      <c r="C16" s="68"/>
      <c r="D16" s="68"/>
      <c r="E16" s="68"/>
      <c r="F16" s="68"/>
      <c r="G16" s="68"/>
      <c r="H16" s="44"/>
      <c r="I16" s="46" t="str">
        <f>IF(E12="(Select Property Type)","",IF(E12="Primary Residence (Max CLTV 97.75%)","97.75",IF(E12="HUD Approved 2nd Home (Max CLTV 85%)","85.00")))</f>
        <v/>
      </c>
    </row>
    <row r="17" spans="1:9" x14ac:dyDescent="0.2">
      <c r="A17" s="68" t="s">
        <v>59</v>
      </c>
      <c r="B17" s="68"/>
      <c r="C17" s="68"/>
      <c r="D17" s="68"/>
      <c r="E17" s="68"/>
      <c r="F17" s="68"/>
      <c r="G17" s="68"/>
      <c r="H17" s="44"/>
      <c r="I17" s="45" t="str">
        <f>IF(E12="(Select Property Type)","",IF(E12="Primary Residence (Max CLTV 97.75%)",I15*0.9775,IF(E12="HUD Approved 2nd Home (Max CLTV 85%)",I15*0.85)))</f>
        <v/>
      </c>
    </row>
    <row r="18" spans="1:9" x14ac:dyDescent="0.2">
      <c r="A18" s="68" t="s">
        <v>60</v>
      </c>
      <c r="B18" s="68"/>
      <c r="C18" s="68"/>
      <c r="D18" s="68"/>
      <c r="E18" s="68"/>
      <c r="F18" s="68"/>
      <c r="G18" s="68"/>
      <c r="H18" s="47" t="s">
        <v>61</v>
      </c>
      <c r="I18" s="45">
        <f>H10</f>
        <v>0</v>
      </c>
    </row>
    <row r="19" spans="1:9" x14ac:dyDescent="0.2">
      <c r="A19" s="68" t="s">
        <v>62</v>
      </c>
      <c r="B19" s="68"/>
      <c r="C19" s="68"/>
      <c r="D19" s="68"/>
      <c r="E19" s="68"/>
      <c r="F19" s="68"/>
      <c r="G19" s="68"/>
      <c r="H19" s="44"/>
      <c r="I19" s="45" t="str">
        <f>IF(I17="Enter Appraised Value", "",IF(E12="(Select Property Type)","",ROUNDDOWN(I17-I18,0)))</f>
        <v/>
      </c>
    </row>
    <row r="20" spans="1:9" x14ac:dyDescent="0.2">
      <c r="A20" s="68" t="s">
        <v>9</v>
      </c>
      <c r="B20" s="68"/>
      <c r="C20" s="68"/>
      <c r="D20" s="68"/>
      <c r="E20" s="68"/>
      <c r="F20" s="68"/>
      <c r="G20" s="48" t="str">
        <f>B10</f>
        <v>(Select UFMIP Rate)</v>
      </c>
      <c r="H20" s="49"/>
      <c r="I20" s="45" t="str">
        <f>IF(B10="(Select UFMIP Rate)","",IF(H9="","",IF(E12="(Select Property Type)","",ROUNDDOWN(G20*I19,0))))</f>
        <v/>
      </c>
    </row>
    <row r="21" spans="1:9" x14ac:dyDescent="0.2">
      <c r="A21" s="68" t="s">
        <v>63</v>
      </c>
      <c r="B21" s="68"/>
      <c r="C21" s="68"/>
      <c r="D21" s="68"/>
      <c r="E21" s="68"/>
      <c r="F21" s="68"/>
      <c r="G21" s="68"/>
      <c r="H21" s="47" t="s">
        <v>64</v>
      </c>
      <c r="I21" s="45" t="str">
        <f>IF(B10="(Select UFMIP Rate)","",IF(H9="","",IF(E12="(Select Property Type)","",I19+I20)))</f>
        <v/>
      </c>
    </row>
    <row r="22" spans="1:9" x14ac:dyDescent="0.2">
      <c r="A22" s="156" t="s">
        <v>14</v>
      </c>
      <c r="B22" s="156"/>
      <c r="C22" s="156"/>
      <c r="D22" s="156"/>
      <c r="E22" s="156"/>
      <c r="F22" s="156"/>
      <c r="G22" s="156"/>
      <c r="H22" s="156"/>
      <c r="I22" s="156"/>
    </row>
    <row r="23" spans="1:9" x14ac:dyDescent="0.2">
      <c r="A23" s="68" t="s">
        <v>65</v>
      </c>
      <c r="B23" s="68"/>
      <c r="C23" s="68"/>
      <c r="D23" s="68"/>
      <c r="E23" s="68"/>
      <c r="F23" s="68"/>
      <c r="G23" s="68"/>
      <c r="H23" s="50"/>
      <c r="I23" s="20">
        <f>B9</f>
        <v>0</v>
      </c>
    </row>
    <row r="24" spans="1:9" x14ac:dyDescent="0.2">
      <c r="A24" s="68" t="s">
        <v>16</v>
      </c>
      <c r="B24" s="68"/>
      <c r="C24" s="68"/>
      <c r="D24" s="68"/>
      <c r="E24" s="68"/>
      <c r="F24" s="68"/>
      <c r="G24" s="68"/>
      <c r="H24" s="50"/>
      <c r="I24" s="8"/>
    </row>
    <row r="25" spans="1:9" x14ac:dyDescent="0.2">
      <c r="A25" s="68" t="s">
        <v>66</v>
      </c>
      <c r="B25" s="68"/>
      <c r="C25" s="68"/>
      <c r="D25" s="68"/>
      <c r="E25" s="68"/>
      <c r="F25" s="68"/>
      <c r="G25" s="68"/>
      <c r="H25" s="50"/>
      <c r="I25" s="8"/>
    </row>
    <row r="26" spans="1:9" x14ac:dyDescent="0.2">
      <c r="A26" s="68" t="s">
        <v>67</v>
      </c>
      <c r="B26" s="68"/>
      <c r="C26" s="68"/>
      <c r="D26" s="68"/>
      <c r="E26" s="68"/>
      <c r="F26" s="68"/>
      <c r="G26" s="68"/>
      <c r="H26" s="50"/>
      <c r="I26" s="8"/>
    </row>
    <row r="27" spans="1:9" x14ac:dyDescent="0.2">
      <c r="A27" s="68" t="s">
        <v>19</v>
      </c>
      <c r="B27" s="68"/>
      <c r="C27" s="68"/>
      <c r="D27" s="68"/>
      <c r="E27" s="68"/>
      <c r="F27" s="68"/>
      <c r="G27" s="68"/>
      <c r="H27" s="50"/>
      <c r="I27" s="8"/>
    </row>
    <row r="28" spans="1:9" x14ac:dyDescent="0.2">
      <c r="A28" s="68" t="s">
        <v>68</v>
      </c>
      <c r="B28" s="68"/>
      <c r="C28" s="68"/>
      <c r="D28" s="68"/>
      <c r="E28" s="68"/>
      <c r="F28" s="68"/>
      <c r="G28" s="68"/>
      <c r="H28" s="50"/>
      <c r="I28" s="8"/>
    </row>
    <row r="29" spans="1:9" x14ac:dyDescent="0.2">
      <c r="A29" s="68" t="s">
        <v>27</v>
      </c>
      <c r="B29" s="68"/>
      <c r="C29" s="68"/>
      <c r="D29" s="68"/>
      <c r="E29" s="68"/>
      <c r="F29" s="68"/>
      <c r="G29" s="68"/>
      <c r="H29" s="50"/>
      <c r="I29" s="8"/>
    </row>
    <row r="30" spans="1:9" x14ac:dyDescent="0.2">
      <c r="A30" s="68" t="s">
        <v>69</v>
      </c>
      <c r="B30" s="68"/>
      <c r="C30" s="68"/>
      <c r="D30" s="68"/>
      <c r="E30" s="68"/>
      <c r="F30" s="68"/>
      <c r="G30" s="68"/>
      <c r="H30" s="50"/>
      <c r="I30" s="8"/>
    </row>
    <row r="31" spans="1:9" x14ac:dyDescent="0.2">
      <c r="A31" s="68" t="s">
        <v>70</v>
      </c>
      <c r="B31" s="68"/>
      <c r="C31" s="68"/>
      <c r="D31" s="68"/>
      <c r="E31" s="68"/>
      <c r="F31" s="68"/>
      <c r="G31" s="68"/>
      <c r="H31" s="50"/>
      <c r="I31" s="8"/>
    </row>
    <row r="32" spans="1:9" x14ac:dyDescent="0.2">
      <c r="A32" s="68" t="s">
        <v>71</v>
      </c>
      <c r="B32" s="68"/>
      <c r="C32" s="68"/>
      <c r="D32" s="68"/>
      <c r="E32" s="68"/>
      <c r="F32" s="68"/>
      <c r="G32" s="68"/>
      <c r="H32" s="50"/>
      <c r="I32" s="8"/>
    </row>
    <row r="33" spans="1:9" x14ac:dyDescent="0.2">
      <c r="A33" s="68" t="s">
        <v>59</v>
      </c>
      <c r="B33" s="68"/>
      <c r="C33" s="68"/>
      <c r="D33" s="68"/>
      <c r="E33" s="68"/>
      <c r="F33" s="68"/>
      <c r="G33" s="68"/>
      <c r="H33" s="47" t="s">
        <v>64</v>
      </c>
      <c r="I33" s="20">
        <f>ROUNDDOWN(SUM(I23:I31)-I32,0)</f>
        <v>0</v>
      </c>
    </row>
    <row r="34" spans="1:9" x14ac:dyDescent="0.2">
      <c r="A34" s="13" t="s">
        <v>31</v>
      </c>
      <c r="B34" s="13"/>
      <c r="C34" s="13"/>
      <c r="D34" s="13"/>
      <c r="E34" s="13"/>
      <c r="F34" s="13"/>
      <c r="G34" s="20">
        <f>H10</f>
        <v>0</v>
      </c>
      <c r="H34" s="50"/>
      <c r="I34" s="20">
        <f>ROUNDDOWN(SUM(I23+I24+I25+I26+I27+I28+I29+I30+I31-G34),0)</f>
        <v>0</v>
      </c>
    </row>
    <row r="35" spans="1:9" x14ac:dyDescent="0.2">
      <c r="A35" s="68" t="s">
        <v>72</v>
      </c>
      <c r="B35" s="68"/>
      <c r="C35" s="68"/>
      <c r="D35" s="68"/>
      <c r="E35" s="68"/>
      <c r="F35" s="68"/>
      <c r="G35" s="68"/>
      <c r="H35" s="47" t="s">
        <v>64</v>
      </c>
      <c r="I35" s="20">
        <f>ROUNDDOWN(I33-G34,0)</f>
        <v>0</v>
      </c>
    </row>
    <row r="36" spans="1:9" x14ac:dyDescent="0.2">
      <c r="A36" s="68" t="s">
        <v>73</v>
      </c>
      <c r="B36" s="68"/>
      <c r="C36" s="68"/>
      <c r="D36" s="68"/>
      <c r="E36" s="68"/>
      <c r="F36" s="68"/>
      <c r="G36" s="48" t="str">
        <f>B10</f>
        <v>(Select UFMIP Rate)</v>
      </c>
      <c r="H36" s="51"/>
      <c r="I36" s="20" t="str">
        <f>IF(B10="(Select UFMIP Rate)","",ROUNDDOWN(G36*I35,0))</f>
        <v/>
      </c>
    </row>
    <row r="37" spans="1:9" x14ac:dyDescent="0.2">
      <c r="A37" s="68" t="s">
        <v>74</v>
      </c>
      <c r="B37" s="68"/>
      <c r="C37" s="68"/>
      <c r="D37" s="68"/>
      <c r="E37" s="68"/>
      <c r="F37" s="68"/>
      <c r="G37" s="68"/>
      <c r="H37" s="52"/>
      <c r="I37" s="20" t="str">
        <f>IF(B10="","",IF(B10="(Select UFMIP Rate)","",SUM(I35:I36)))</f>
        <v/>
      </c>
    </row>
    <row r="38" spans="1:9" x14ac:dyDescent="0.2">
      <c r="A38" s="153" t="s">
        <v>42</v>
      </c>
      <c r="B38" s="153"/>
      <c r="C38" s="153"/>
      <c r="D38" s="153"/>
      <c r="E38" s="153"/>
      <c r="F38" s="153"/>
      <c r="G38" s="153"/>
      <c r="H38" s="153"/>
      <c r="I38" s="153"/>
    </row>
    <row r="39" spans="1:9" x14ac:dyDescent="0.2">
      <c r="A39" s="68" t="s">
        <v>43</v>
      </c>
      <c r="B39" s="68"/>
      <c r="C39" s="68"/>
      <c r="D39" s="68"/>
      <c r="E39" s="68"/>
      <c r="F39" s="68"/>
      <c r="G39" s="83" t="str">
        <f>B10</f>
        <v>(Select UFMIP Rate)</v>
      </c>
      <c r="H39" s="84"/>
      <c r="I39" s="25" t="str">
        <f>IF(B10="(Select UFMIP Rate)","",IF(H9="","",IF(I42="","",IF(B9="","",ROUNDDOWN(G39*I42,0)))))</f>
        <v/>
      </c>
    </row>
    <row r="40" spans="1:9" x14ac:dyDescent="0.2">
      <c r="A40" s="156" t="s">
        <v>75</v>
      </c>
      <c r="B40" s="156"/>
      <c r="C40" s="156"/>
      <c r="D40" s="156"/>
      <c r="E40" s="156"/>
      <c r="F40" s="156"/>
      <c r="G40" s="156"/>
      <c r="H40" s="156"/>
      <c r="I40" s="25">
        <f>H10</f>
        <v>0</v>
      </c>
    </row>
    <row r="41" spans="1:9" x14ac:dyDescent="0.2">
      <c r="A41" s="77" t="s">
        <v>76</v>
      </c>
      <c r="B41" s="77"/>
      <c r="C41" s="77"/>
      <c r="D41" s="77"/>
      <c r="E41" s="77"/>
      <c r="F41" s="77"/>
      <c r="G41" s="77"/>
      <c r="H41" s="77"/>
      <c r="I41" s="25" t="str">
        <f>IF(I43="","",IF(B9="","",IF(H9="","",IF(B10="(Select UFMIP Rate)","",IF(H11="(Select Month)","",IF(E12="(Select Property Type)","",IF(I43=I21,I17,IF(I43=I37,I33))))))))</f>
        <v/>
      </c>
    </row>
    <row r="42" spans="1:9" x14ac:dyDescent="0.2">
      <c r="A42" s="156" t="s">
        <v>77</v>
      </c>
      <c r="B42" s="156"/>
      <c r="C42" s="156"/>
      <c r="D42" s="156"/>
      <c r="E42" s="156"/>
      <c r="F42" s="156"/>
      <c r="G42" s="156"/>
      <c r="H42" s="156"/>
      <c r="I42" s="25" t="str">
        <f>IF(I41="","",ROUNDDOWN(I41-I40,0))</f>
        <v/>
      </c>
    </row>
    <row r="43" spans="1:9" x14ac:dyDescent="0.2">
      <c r="A43" s="77" t="s">
        <v>78</v>
      </c>
      <c r="B43" s="77"/>
      <c r="C43" s="77"/>
      <c r="D43" s="77"/>
      <c r="E43" s="77"/>
      <c r="F43" s="77"/>
      <c r="G43" s="77"/>
      <c r="H43" s="77"/>
      <c r="I43" s="25" t="str">
        <f>IF(H11="(Select Month)","",IF(E12="(Select Property Type)","",MIN(I21,I37)))</f>
        <v/>
      </c>
    </row>
    <row r="45" spans="1:9" x14ac:dyDescent="0.2">
      <c r="A45" s="153" t="s">
        <v>79</v>
      </c>
      <c r="B45" s="153"/>
      <c r="C45" s="153"/>
      <c r="D45" s="153"/>
      <c r="E45" s="153"/>
      <c r="F45" s="153"/>
      <c r="G45" s="153"/>
      <c r="H45" s="153"/>
      <c r="I45" s="20">
        <f>SUM(I23,I24,I25,I26,I27)</f>
        <v>0</v>
      </c>
    </row>
    <row r="46" spans="1:9" x14ac:dyDescent="0.2">
      <c r="A46" s="42" t="s">
        <v>80</v>
      </c>
    </row>
  </sheetData>
  <sheetProtection algorithmName="SHA-512" hashValue="RcLGcxpV+yc+5YoBVs9yuPV72o+OysCK+YM/srDtaoU6o2pP1dH6fo2X2SLdBRa+y9ikPp076gyzVZ5NGuN5qw==" saltValue="aIRCzMC10VWWLkxz8QDHfw==" spinCount="100000" sheet="1" formatCells="0" formatColumns="0" formatRows="0" insertColumns="0" insertRows="0" insertHyperlinks="0" deleteColumns="0" deleteRows="0" sort="0" autoFilter="0" pivotTables="0"/>
  <protectedRanges>
    <protectedRange sqref="E6:F6" name="Range1"/>
    <protectedRange sqref="A46" name="Range2"/>
    <protectedRange sqref="A8:I8" name="Range3"/>
  </protectedRanges>
  <mergeCells count="51">
    <mergeCell ref="A45:H45"/>
    <mergeCell ref="A42:H42"/>
    <mergeCell ref="A41:H41"/>
    <mergeCell ref="A43:H43"/>
    <mergeCell ref="G1:I5"/>
    <mergeCell ref="A22:I22"/>
    <mergeCell ref="A38:I38"/>
    <mergeCell ref="A40:H40"/>
    <mergeCell ref="B6:C6"/>
    <mergeCell ref="E6:F6"/>
    <mergeCell ref="G6:I6"/>
    <mergeCell ref="E7:F7"/>
    <mergeCell ref="G7:I7"/>
    <mergeCell ref="A14:I14"/>
    <mergeCell ref="A8:I8"/>
    <mergeCell ref="B9:C9"/>
    <mergeCell ref="D9:G9"/>
    <mergeCell ref="H9:I9"/>
    <mergeCell ref="B10:C10"/>
    <mergeCell ref="D10:G10"/>
    <mergeCell ref="A20:F20"/>
    <mergeCell ref="H10:I10"/>
    <mergeCell ref="A11:G11"/>
    <mergeCell ref="H11:I11"/>
    <mergeCell ref="A13:I13"/>
    <mergeCell ref="E12:I12"/>
    <mergeCell ref="A12:D12"/>
    <mergeCell ref="K1:S6"/>
    <mergeCell ref="K9:S9"/>
    <mergeCell ref="A39:F39"/>
    <mergeCell ref="A33:G33"/>
    <mergeCell ref="A35:G35"/>
    <mergeCell ref="A37:G37"/>
    <mergeCell ref="A36:F36"/>
    <mergeCell ref="G39:H39"/>
    <mergeCell ref="A28:G28"/>
    <mergeCell ref="A29:G29"/>
    <mergeCell ref="A21:G21"/>
    <mergeCell ref="A15:G15"/>
    <mergeCell ref="A16:G16"/>
    <mergeCell ref="A17:G17"/>
    <mergeCell ref="A18:G18"/>
    <mergeCell ref="A19:G19"/>
    <mergeCell ref="A30:G30"/>
    <mergeCell ref="A31:G31"/>
    <mergeCell ref="A32:G32"/>
    <mergeCell ref="A23:G23"/>
    <mergeCell ref="A24:G24"/>
    <mergeCell ref="A25:G25"/>
    <mergeCell ref="A26:G26"/>
    <mergeCell ref="A27:G27"/>
  </mergeCells>
  <dataValidations count="3">
    <dataValidation type="list" allowBlank="1" showInputMessage="1" showErrorMessage="1" sqref="H11:I11" xr:uid="{00000000-0002-0000-0100-000000000000}">
      <formula1>"(Select Month),January,February,March,April,May,June,July,August,September,October,November,December"</formula1>
    </dataValidation>
    <dataValidation type="list" allowBlank="1" showInputMessage="1" showErrorMessage="1" sqref="B10:C10" xr:uid="{00000000-0002-0000-0100-000001000000}">
      <formula1>"(Select UFMIP Rate),0.00%,0.01%,1.00%,1.5%,1.75%,2.00%,2.25%"</formula1>
    </dataValidation>
    <dataValidation type="list" allowBlank="1" showInputMessage="1" showErrorMessage="1" sqref="E12" xr:uid="{00000000-0002-0000-0100-000002000000}">
      <formula1>"(Select Property Type), Primary Residence (Max CLTV 97.75%), HUD Approved 2nd Home (MAX CLTV 85%)"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0"/>
  <sheetViews>
    <sheetView showGridLines="0" workbookViewId="0">
      <selection activeCell="T34" sqref="T34"/>
    </sheetView>
  </sheetViews>
  <sheetFormatPr baseColWidth="10" defaultColWidth="9.1640625" defaultRowHeight="15" x14ac:dyDescent="0.2"/>
  <cols>
    <col min="1" max="2" width="9.1640625" style="11"/>
    <col min="3" max="3" width="10.1640625" style="11" customWidth="1"/>
    <col min="4" max="4" width="3.6640625" style="11" customWidth="1"/>
    <col min="5" max="5" width="14" style="11" customWidth="1"/>
    <col min="6" max="6" width="17.33203125" style="11" customWidth="1"/>
    <col min="7" max="7" width="16.83203125" style="11" customWidth="1"/>
    <col min="8" max="8" width="1.6640625" style="11" customWidth="1"/>
    <col min="9" max="9" width="18.6640625" style="11" customWidth="1"/>
    <col min="10" max="15" width="9.1640625" style="12"/>
    <col min="16" max="16" width="14.1640625" style="12" customWidth="1"/>
    <col min="17" max="17" width="41.1640625" style="12" bestFit="1" customWidth="1"/>
    <col min="18" max="16384" width="9.1640625" style="12"/>
  </cols>
  <sheetData>
    <row r="1" spans="1:17" ht="15" customHeight="1" x14ac:dyDescent="0.2">
      <c r="G1" s="152" t="s">
        <v>81</v>
      </c>
      <c r="H1" s="152"/>
      <c r="I1" s="152"/>
      <c r="K1" s="89" t="s">
        <v>82</v>
      </c>
      <c r="L1" s="90"/>
      <c r="M1" s="90"/>
      <c r="N1" s="90"/>
      <c r="O1" s="90"/>
      <c r="P1" s="90"/>
      <c r="Q1" s="91"/>
    </row>
    <row r="2" spans="1:17" ht="15" customHeight="1" x14ac:dyDescent="0.2">
      <c r="G2" s="152"/>
      <c r="H2" s="152"/>
      <c r="I2" s="152"/>
      <c r="K2" s="92"/>
      <c r="L2" s="93"/>
      <c r="M2" s="93"/>
      <c r="N2" s="93"/>
      <c r="O2" s="93"/>
      <c r="P2" s="93"/>
      <c r="Q2" s="94"/>
    </row>
    <row r="3" spans="1:17" ht="15" customHeight="1" x14ac:dyDescent="0.2">
      <c r="G3" s="152"/>
      <c r="H3" s="152"/>
      <c r="I3" s="152"/>
      <c r="K3" s="92"/>
      <c r="L3" s="93"/>
      <c r="M3" s="93"/>
      <c r="N3" s="93"/>
      <c r="O3" s="93"/>
      <c r="P3" s="93"/>
      <c r="Q3" s="94"/>
    </row>
    <row r="4" spans="1:17" ht="15" customHeight="1" x14ac:dyDescent="0.2">
      <c r="G4" s="152"/>
      <c r="H4" s="152"/>
      <c r="I4" s="152"/>
      <c r="K4" s="92"/>
      <c r="L4" s="93"/>
      <c r="M4" s="93"/>
      <c r="N4" s="93"/>
      <c r="O4" s="93"/>
      <c r="P4" s="93"/>
      <c r="Q4" s="94"/>
    </row>
    <row r="5" spans="1:17" ht="17.25" customHeight="1" x14ac:dyDescent="0.2">
      <c r="G5" s="152"/>
      <c r="H5" s="152"/>
      <c r="I5" s="152"/>
      <c r="K5" s="92"/>
      <c r="L5" s="93"/>
      <c r="M5" s="93"/>
      <c r="N5" s="93"/>
      <c r="O5" s="93"/>
      <c r="P5" s="93"/>
      <c r="Q5" s="94"/>
    </row>
    <row r="6" spans="1:17" ht="15" customHeight="1" x14ac:dyDescent="0.2">
      <c r="A6" s="13" t="s">
        <v>2</v>
      </c>
      <c r="B6" s="64"/>
      <c r="C6" s="64"/>
      <c r="E6" s="63" t="s">
        <v>3</v>
      </c>
      <c r="F6" s="63"/>
      <c r="G6" s="72"/>
      <c r="H6" s="73"/>
      <c r="I6" s="74"/>
      <c r="K6" s="95"/>
      <c r="L6" s="96"/>
      <c r="M6" s="96"/>
      <c r="N6" s="96"/>
      <c r="O6" s="96"/>
      <c r="P6" s="96"/>
      <c r="Q6" s="97"/>
    </row>
    <row r="7" spans="1:17" x14ac:dyDescent="0.2">
      <c r="E7" s="110" t="s">
        <v>4</v>
      </c>
      <c r="F7" s="110"/>
      <c r="G7" s="128"/>
      <c r="H7" s="129"/>
      <c r="I7" s="130"/>
    </row>
    <row r="8" spans="1:17" x14ac:dyDescent="0.2">
      <c r="A8" s="155" t="s">
        <v>83</v>
      </c>
      <c r="B8" s="155"/>
      <c r="C8" s="155"/>
      <c r="D8" s="155"/>
      <c r="E8" s="155"/>
      <c r="F8" s="155"/>
      <c r="G8" s="155"/>
      <c r="H8" s="155"/>
      <c r="I8" s="155"/>
    </row>
    <row r="9" spans="1:17" ht="31" x14ac:dyDescent="0.35">
      <c r="A9" s="123" t="s">
        <v>84</v>
      </c>
      <c r="B9" s="124"/>
      <c r="C9" s="67"/>
      <c r="D9" s="67"/>
      <c r="E9" s="120" t="s">
        <v>85</v>
      </c>
      <c r="F9" s="121"/>
      <c r="G9" s="121"/>
      <c r="H9" s="122"/>
      <c r="I9" s="31" t="s">
        <v>13</v>
      </c>
      <c r="K9" s="98" t="s">
        <v>8</v>
      </c>
      <c r="L9" s="99"/>
      <c r="M9" s="99"/>
      <c r="N9" s="99"/>
      <c r="O9" s="99"/>
      <c r="P9" s="99"/>
      <c r="Q9" s="100"/>
    </row>
    <row r="10" spans="1:17" ht="36.75" customHeight="1" x14ac:dyDescent="0.2">
      <c r="A10" s="123" t="s">
        <v>9</v>
      </c>
      <c r="B10" s="124"/>
      <c r="C10" s="131" t="s">
        <v>10</v>
      </c>
      <c r="D10" s="132"/>
      <c r="E10" s="75" t="s">
        <v>86</v>
      </c>
      <c r="F10" s="75"/>
      <c r="G10" s="75"/>
      <c r="H10" s="75"/>
      <c r="I10" s="8"/>
    </row>
    <row r="11" spans="1:17" x14ac:dyDescent="0.2">
      <c r="A11" s="155" t="s">
        <v>87</v>
      </c>
      <c r="B11" s="155"/>
      <c r="C11" s="155"/>
      <c r="D11" s="155"/>
      <c r="E11" s="155"/>
      <c r="F11" s="155"/>
      <c r="G11" s="155"/>
      <c r="H11" s="155"/>
      <c r="I11" s="155"/>
      <c r="K11" s="155" t="s">
        <v>88</v>
      </c>
      <c r="L11" s="155"/>
      <c r="M11" s="155"/>
      <c r="N11" s="155"/>
      <c r="O11" s="155"/>
      <c r="P11" s="155"/>
      <c r="Q11" s="155"/>
    </row>
    <row r="12" spans="1:17" x14ac:dyDescent="0.2">
      <c r="A12" s="156" t="s">
        <v>89</v>
      </c>
      <c r="B12" s="156"/>
      <c r="C12" s="156"/>
      <c r="D12" s="156"/>
      <c r="E12" s="156"/>
      <c r="F12" s="156"/>
      <c r="G12" s="156"/>
      <c r="H12" s="156"/>
      <c r="I12" s="156"/>
      <c r="K12" s="75" t="s">
        <v>90</v>
      </c>
      <c r="L12" s="75"/>
      <c r="M12" s="75"/>
      <c r="N12" s="75"/>
      <c r="O12" s="75"/>
      <c r="P12" s="101"/>
      <c r="Q12" s="88" t="str">
        <f>IF(P12="","",IF(P12&gt;5,"PROCEED TO DATE CALCULATOR","INELIGIBLE"))</f>
        <v/>
      </c>
    </row>
    <row r="13" spans="1:17" x14ac:dyDescent="0.2">
      <c r="A13" s="125" t="s">
        <v>91</v>
      </c>
      <c r="B13" s="126"/>
      <c r="C13" s="126"/>
      <c r="D13" s="126"/>
      <c r="E13" s="126"/>
      <c r="F13" s="126"/>
      <c r="G13" s="127"/>
      <c r="H13" s="14"/>
      <c r="I13" s="9"/>
      <c r="K13" s="75"/>
      <c r="L13" s="75"/>
      <c r="M13" s="75"/>
      <c r="N13" s="75"/>
      <c r="O13" s="75"/>
      <c r="P13" s="101"/>
      <c r="Q13" s="88"/>
    </row>
    <row r="14" spans="1:17" x14ac:dyDescent="0.2">
      <c r="A14" s="60" t="s">
        <v>31</v>
      </c>
      <c r="B14" s="61"/>
      <c r="C14" s="61"/>
      <c r="D14" s="61"/>
      <c r="E14" s="61"/>
      <c r="F14" s="61"/>
      <c r="G14" s="62"/>
      <c r="H14" s="14" t="s">
        <v>61</v>
      </c>
      <c r="I14" s="15">
        <f>I10</f>
        <v>0</v>
      </c>
      <c r="K14" s="169" t="s">
        <v>92</v>
      </c>
      <c r="L14" s="169"/>
      <c r="M14" s="169"/>
      <c r="N14" s="169"/>
      <c r="O14" s="169"/>
      <c r="P14" s="169"/>
      <c r="Q14" s="169"/>
    </row>
    <row r="15" spans="1:17" x14ac:dyDescent="0.2">
      <c r="A15" s="60" t="s">
        <v>93</v>
      </c>
      <c r="B15" s="61"/>
      <c r="C15" s="61"/>
      <c r="D15" s="61"/>
      <c r="E15" s="61"/>
      <c r="F15" s="61"/>
      <c r="G15" s="62"/>
      <c r="H15" s="14"/>
      <c r="I15" s="15">
        <f>I13-I14</f>
        <v>0</v>
      </c>
      <c r="K15" s="68" t="s">
        <v>94</v>
      </c>
      <c r="L15" s="68"/>
      <c r="M15" s="68"/>
      <c r="N15" s="68"/>
      <c r="O15" s="68"/>
      <c r="P15" s="30"/>
      <c r="Q15" s="88" t="str">
        <f>IF(P16="","",IF(P16-P15&gt;209,"ELIGIBLE","INELIGIBLE"))</f>
        <v/>
      </c>
    </row>
    <row r="16" spans="1:17" x14ac:dyDescent="0.2">
      <c r="A16" s="125" t="s">
        <v>95</v>
      </c>
      <c r="B16" s="126"/>
      <c r="C16" s="126"/>
      <c r="D16" s="126"/>
      <c r="E16" s="126"/>
      <c r="F16" s="126"/>
      <c r="G16" s="16" t="str">
        <f>C10</f>
        <v>(Select UFMIP Rate)</v>
      </c>
      <c r="H16" s="17"/>
      <c r="I16" s="15" t="str">
        <f>IF(G16="(Select UFMIP Rate)","",IF(I13="","",ROUNDDOWN(G16*I15,0)))</f>
        <v/>
      </c>
      <c r="K16" s="68" t="s">
        <v>96</v>
      </c>
      <c r="L16" s="68"/>
      <c r="M16" s="68"/>
      <c r="N16" s="68"/>
      <c r="O16" s="68"/>
      <c r="P16" s="30"/>
      <c r="Q16" s="88"/>
    </row>
    <row r="17" spans="1:18" x14ac:dyDescent="0.2">
      <c r="A17" s="60" t="s">
        <v>74</v>
      </c>
      <c r="B17" s="61"/>
      <c r="C17" s="61"/>
      <c r="D17" s="61"/>
      <c r="E17" s="61"/>
      <c r="F17" s="61"/>
      <c r="G17" s="62"/>
      <c r="H17" s="18"/>
      <c r="I17" s="15" t="str">
        <f>IF(G16="(Select UFMIP Rate)","",IF(I13="","",ROUNDDOWN(SUM(I15+I16),0)))</f>
        <v/>
      </c>
    </row>
    <row r="18" spans="1:18" x14ac:dyDescent="0.2">
      <c r="A18" s="156" t="s">
        <v>14</v>
      </c>
      <c r="B18" s="156"/>
      <c r="C18" s="156"/>
      <c r="D18" s="156"/>
      <c r="E18" s="156"/>
      <c r="F18" s="156"/>
      <c r="G18" s="156"/>
      <c r="H18" s="156"/>
      <c r="I18" s="156"/>
      <c r="K18" s="68" t="s">
        <v>97</v>
      </c>
      <c r="L18" s="68"/>
      <c r="M18" s="68"/>
      <c r="N18" s="68"/>
      <c r="O18" s="68"/>
      <c r="P18" s="30"/>
      <c r="Q18" s="87" t="str">
        <f>IF(P19="","",IF(P19-P18&gt;210,"ELIGIBLE","INELIGIBLE"))</f>
        <v/>
      </c>
    </row>
    <row r="19" spans="1:18" x14ac:dyDescent="0.2">
      <c r="A19" s="63" t="s">
        <v>98</v>
      </c>
      <c r="B19" s="63"/>
      <c r="C19" s="63"/>
      <c r="D19" s="63"/>
      <c r="E19" s="63"/>
      <c r="F19" s="63"/>
      <c r="G19" s="63"/>
      <c r="H19" s="63"/>
      <c r="I19" s="63"/>
      <c r="K19" s="68" t="s">
        <v>99</v>
      </c>
      <c r="L19" s="102"/>
      <c r="M19" s="102"/>
      <c r="N19" s="102"/>
      <c r="O19" s="102"/>
      <c r="P19" s="30"/>
      <c r="Q19" s="87"/>
    </row>
    <row r="20" spans="1:18" x14ac:dyDescent="0.2">
      <c r="A20" s="60" t="s">
        <v>84</v>
      </c>
      <c r="B20" s="61"/>
      <c r="C20" s="61"/>
      <c r="D20" s="61"/>
      <c r="E20" s="61"/>
      <c r="F20" s="61"/>
      <c r="G20" s="62"/>
      <c r="H20" s="19"/>
      <c r="I20" s="20">
        <f>C9</f>
        <v>0</v>
      </c>
    </row>
    <row r="21" spans="1:18" x14ac:dyDescent="0.2">
      <c r="A21" s="60" t="s">
        <v>100</v>
      </c>
      <c r="B21" s="61"/>
      <c r="C21" s="61"/>
      <c r="D21" s="61"/>
      <c r="E21" s="61"/>
      <c r="F21" s="61"/>
      <c r="G21" s="62"/>
      <c r="H21" s="21"/>
      <c r="I21" s="8"/>
      <c r="K21" s="169" t="s">
        <v>101</v>
      </c>
      <c r="L21" s="169"/>
      <c r="M21" s="169"/>
      <c r="N21" s="169"/>
      <c r="O21" s="169"/>
      <c r="P21" s="169"/>
      <c r="Q21" s="32" t="str">
        <f>IF(AND(Q12="",Q15="",Q18=""),"DOES NOT MEET SEASONING REQUIREMENTS",IF(AND(Q12="Proceed to Date Calculator",Q15="eligible",Q18="eligible"),"MEETS SEASONING REQUIREMENTS","DOES NOT MEET SEASONING REQUIREMENTS"))</f>
        <v>DOES NOT MEET SEASONING REQUIREMENTS</v>
      </c>
    </row>
    <row r="22" spans="1:18" x14ac:dyDescent="0.2">
      <c r="A22" s="60" t="s">
        <v>102</v>
      </c>
      <c r="B22" s="61"/>
      <c r="C22" s="61"/>
      <c r="D22" s="61"/>
      <c r="E22" s="61"/>
      <c r="F22" s="61"/>
      <c r="G22" s="62"/>
      <c r="H22" s="21"/>
      <c r="I22" s="8"/>
    </row>
    <row r="23" spans="1:18" x14ac:dyDescent="0.2">
      <c r="A23" s="60" t="s">
        <v>103</v>
      </c>
      <c r="B23" s="61"/>
      <c r="C23" s="61"/>
      <c r="D23" s="61"/>
      <c r="E23" s="61"/>
      <c r="F23" s="61"/>
      <c r="G23" s="62"/>
      <c r="H23" s="21"/>
      <c r="I23" s="8"/>
    </row>
    <row r="24" spans="1:18" x14ac:dyDescent="0.2">
      <c r="A24" s="60" t="s">
        <v>104</v>
      </c>
      <c r="B24" s="61"/>
      <c r="C24" s="61"/>
      <c r="D24" s="61"/>
      <c r="E24" s="61"/>
      <c r="F24" s="61"/>
      <c r="G24" s="62"/>
      <c r="H24" s="21"/>
      <c r="I24" s="20">
        <f>IF(I20="","",ROUNDDOWN(SUM(I20:I22)-I23,0))</f>
        <v>0</v>
      </c>
    </row>
    <row r="25" spans="1:18" x14ac:dyDescent="0.2">
      <c r="A25" s="60" t="s">
        <v>31</v>
      </c>
      <c r="B25" s="61"/>
      <c r="C25" s="61"/>
      <c r="D25" s="61"/>
      <c r="E25" s="61"/>
      <c r="F25" s="61"/>
      <c r="G25" s="62"/>
      <c r="H25" s="21"/>
      <c r="I25" s="20">
        <f>I10</f>
        <v>0</v>
      </c>
    </row>
    <row r="26" spans="1:18" x14ac:dyDescent="0.2">
      <c r="A26" s="60" t="s">
        <v>93</v>
      </c>
      <c r="B26" s="61"/>
      <c r="C26" s="61"/>
      <c r="D26" s="61"/>
      <c r="E26" s="61"/>
      <c r="F26" s="61"/>
      <c r="G26" s="62"/>
      <c r="H26" s="21"/>
      <c r="I26" s="20">
        <f>ROUNDDOWN(SUM(I24-I25),0)</f>
        <v>0</v>
      </c>
    </row>
    <row r="27" spans="1:18" x14ac:dyDescent="0.2">
      <c r="A27" s="60" t="s">
        <v>105</v>
      </c>
      <c r="B27" s="61"/>
      <c r="C27" s="61"/>
      <c r="D27" s="61"/>
      <c r="E27" s="61"/>
      <c r="F27" s="61"/>
      <c r="G27" s="22" t="str">
        <f>C10</f>
        <v>(Select UFMIP Rate)</v>
      </c>
      <c r="H27" s="23"/>
      <c r="I27" s="20" t="str">
        <f>IF(C10="(Select UFMIP Rate)","",IF(C9="","",ROUNDDOWN(SUM(G27*I26),0)))</f>
        <v/>
      </c>
    </row>
    <row r="28" spans="1:18" x14ac:dyDescent="0.2">
      <c r="A28" s="60" t="s">
        <v>74</v>
      </c>
      <c r="B28" s="61"/>
      <c r="C28" s="61"/>
      <c r="D28" s="61"/>
      <c r="E28" s="61"/>
      <c r="F28" s="61"/>
      <c r="G28" s="62"/>
      <c r="H28" s="24"/>
      <c r="I28" s="20" t="str">
        <f>IF(C10="(Select UFMIP Rate)","",IF(C9="","",SUM(I26+I27)))</f>
        <v/>
      </c>
    </row>
    <row r="29" spans="1:18" x14ac:dyDescent="0.2">
      <c r="A29" s="155" t="s">
        <v>106</v>
      </c>
      <c r="B29" s="155"/>
      <c r="C29" s="155"/>
      <c r="D29" s="155"/>
      <c r="E29" s="155"/>
      <c r="F29" s="155"/>
      <c r="G29" s="155"/>
      <c r="H29" s="155"/>
      <c r="I29" s="155"/>
    </row>
    <row r="30" spans="1:18" x14ac:dyDescent="0.2">
      <c r="A30" s="60" t="s">
        <v>105</v>
      </c>
      <c r="B30" s="61"/>
      <c r="C30" s="61"/>
      <c r="D30" s="61"/>
      <c r="E30" s="61"/>
      <c r="F30" s="61"/>
      <c r="G30" s="16" t="str">
        <f>C10</f>
        <v>(Select UFMIP Rate)</v>
      </c>
      <c r="H30" s="13"/>
      <c r="I30" s="25" t="str">
        <f>IF(I27&lt;I16,I27,I16)</f>
        <v/>
      </c>
      <c r="J30" s="53"/>
      <c r="K30" s="53"/>
      <c r="L30" s="53"/>
      <c r="M30" s="53"/>
      <c r="N30" s="53"/>
      <c r="O30" s="53"/>
      <c r="P30" s="53"/>
      <c r="Q30" s="53"/>
      <c r="R30" s="53"/>
    </row>
    <row r="31" spans="1:18" x14ac:dyDescent="0.2">
      <c r="A31" s="156" t="s">
        <v>107</v>
      </c>
      <c r="B31" s="156"/>
      <c r="C31" s="156"/>
      <c r="D31" s="156"/>
      <c r="E31" s="156"/>
      <c r="F31" s="156"/>
      <c r="G31" s="156"/>
      <c r="H31" s="156"/>
      <c r="I31" s="25">
        <f>I10</f>
        <v>0</v>
      </c>
      <c r="J31" s="53"/>
      <c r="K31" s="53"/>
      <c r="L31" s="53"/>
      <c r="M31" s="53"/>
      <c r="N31" s="53"/>
      <c r="O31" s="53"/>
      <c r="P31" s="53"/>
      <c r="Q31" s="53"/>
      <c r="R31" s="53"/>
    </row>
    <row r="32" spans="1:18" x14ac:dyDescent="0.2">
      <c r="A32" s="107" t="s">
        <v>76</v>
      </c>
      <c r="B32" s="108"/>
      <c r="C32" s="108"/>
      <c r="D32" s="108"/>
      <c r="E32" s="108"/>
      <c r="F32" s="108"/>
      <c r="G32" s="108"/>
      <c r="H32" s="109"/>
      <c r="I32" s="25">
        <f>IF(I24&lt;I15,I24,I15)</f>
        <v>0</v>
      </c>
      <c r="J32" s="53"/>
      <c r="K32" s="53"/>
      <c r="L32" s="53"/>
      <c r="M32" s="53"/>
      <c r="N32" s="53"/>
      <c r="O32" s="53"/>
      <c r="P32" s="53"/>
      <c r="Q32" s="53"/>
      <c r="R32" s="53"/>
    </row>
    <row r="33" spans="1:18" x14ac:dyDescent="0.2">
      <c r="A33" s="156" t="s">
        <v>46</v>
      </c>
      <c r="B33" s="156"/>
      <c r="C33" s="156"/>
      <c r="D33" s="156"/>
      <c r="E33" s="156"/>
      <c r="F33" s="156"/>
      <c r="G33" s="156"/>
      <c r="H33" s="156"/>
      <c r="I33" s="25">
        <f>IF(I26&lt;I15,I26,I15)</f>
        <v>0</v>
      </c>
      <c r="J33" s="53"/>
      <c r="K33" s="53"/>
      <c r="L33" s="53"/>
      <c r="M33" s="53"/>
      <c r="N33" s="53"/>
      <c r="O33" s="53"/>
      <c r="P33" s="53"/>
      <c r="Q33" s="53"/>
      <c r="R33" s="53"/>
    </row>
    <row r="34" spans="1:18" x14ac:dyDescent="0.2">
      <c r="A34" s="107" t="s">
        <v>47</v>
      </c>
      <c r="B34" s="108"/>
      <c r="C34" s="108"/>
      <c r="D34" s="108"/>
      <c r="E34" s="108"/>
      <c r="F34" s="108"/>
      <c r="G34" s="108"/>
      <c r="H34" s="109"/>
      <c r="I34" s="25" t="str">
        <f>IF(I28&lt;I17,I28,I17)</f>
        <v/>
      </c>
      <c r="J34" s="53"/>
      <c r="K34" s="53"/>
      <c r="L34" s="53"/>
      <c r="M34" s="53"/>
      <c r="N34" s="53"/>
      <c r="O34" s="53"/>
      <c r="P34" s="53"/>
      <c r="Q34" s="53"/>
      <c r="R34" s="53"/>
    </row>
    <row r="35" spans="1:18" x14ac:dyDescent="0.2">
      <c r="A35" s="14"/>
      <c r="B35" s="14"/>
      <c r="C35" s="14"/>
      <c r="D35" s="14"/>
      <c r="E35" s="14"/>
      <c r="F35" s="14"/>
      <c r="G35" s="14"/>
      <c r="I35" s="26"/>
      <c r="J35" s="53"/>
      <c r="K35" s="53"/>
      <c r="L35" s="53"/>
      <c r="M35" s="53"/>
      <c r="N35" s="53"/>
      <c r="O35" s="53"/>
      <c r="P35" s="53"/>
      <c r="Q35" s="53"/>
      <c r="R35" s="53"/>
    </row>
    <row r="36" spans="1:18" ht="18" customHeight="1" x14ac:dyDescent="0.2">
      <c r="A36" s="168" t="s">
        <v>108</v>
      </c>
      <c r="B36" s="168"/>
      <c r="C36" s="168"/>
      <c r="D36" s="168"/>
      <c r="E36" s="168"/>
      <c r="F36" s="168"/>
      <c r="G36" s="168"/>
      <c r="H36" s="168"/>
      <c r="I36" s="168"/>
      <c r="J36" s="53"/>
      <c r="K36" s="53"/>
      <c r="L36" s="53"/>
      <c r="M36" s="53"/>
      <c r="N36" s="54" t="s">
        <v>109</v>
      </c>
      <c r="O36" s="53"/>
      <c r="P36" s="55" t="s">
        <v>110</v>
      </c>
      <c r="Q36" s="56" t="s">
        <v>111</v>
      </c>
      <c r="R36" s="53"/>
    </row>
    <row r="37" spans="1:18" ht="15" customHeight="1" x14ac:dyDescent="0.2">
      <c r="A37" s="104" t="s">
        <v>112</v>
      </c>
      <c r="B37" s="104"/>
      <c r="C37" s="104"/>
      <c r="D37" s="104"/>
      <c r="E37" s="104"/>
      <c r="F37" s="104"/>
      <c r="G37" s="105" t="s">
        <v>109</v>
      </c>
      <c r="H37" s="105"/>
      <c r="I37" s="105"/>
      <c r="J37" s="53" t="str">
        <f>IF(AND(G37&lt;&gt;"Yes",E38&lt;&gt;"Fixed Rate to ARM",E38&lt;&gt;"ARM to ARM",G39=""),"Please Complete Net Tangible Benefit Worksheet",IF(AND(G37="No",D40="(Select MIP Rate)"),"Please Complete Net Tangible Benefit Worksheet",IF(AND(G37="No",G40="(Select MIP Rate)"),"Please Complete Net Tangible Benefit Worksheet",IF(AND(G37="No",E38="ARM to ARM",D39=""),"Please Complete Net Tangible Benefit Worksheet",IF(AND(G37="No",E38="ARM to ARM",G39=""),"Please Complete Net Tangible Benefit Worksheet",IF(AND(G37="No",E38="ARM to ARM",D40="(Select MIP Rate)"),"Please Complete Net Tangible Benefit Worksheet",IF(AND(G37="No",E38="ARM to ARM",G40="(Select MIP Rate)"),"Please Complete Net Tangible Benefit Worksheet",J38)))))))</f>
        <v>Please Complete Net Tangible Benefit Worksheet</v>
      </c>
      <c r="K37" s="53"/>
      <c r="L37" s="53"/>
      <c r="M37" s="53"/>
      <c r="N37" s="54" t="s">
        <v>113</v>
      </c>
      <c r="O37" s="53"/>
      <c r="P37" s="55" t="s">
        <v>114</v>
      </c>
      <c r="Q37" s="56">
        <v>0.25</v>
      </c>
      <c r="R37" s="53"/>
    </row>
    <row r="38" spans="1:18" ht="15" customHeight="1" x14ac:dyDescent="0.2">
      <c r="A38" s="106" t="s">
        <v>115</v>
      </c>
      <c r="B38" s="106"/>
      <c r="C38" s="106"/>
      <c r="D38" s="106"/>
      <c r="E38" s="71" t="s">
        <v>110</v>
      </c>
      <c r="F38" s="71"/>
      <c r="G38" s="71"/>
      <c r="H38" s="111" t="str">
        <f>IF(E38="(Select Type)","Please Complete Net Tangible Benefit Worksheet",IF(AND(G37="Yes",E38="Fixed Rate to Fixed Rate",D39=""),"Please Complete Net Tangible Benefit Worksheet",IF(AND(G37="Yes",E38="Fixed Rate to Fixed Rate",G39=""),"Please Complete Net Tangible Benefit Worksheet",IF(AND(G37="Yes",E38="Fixed Rate to Fixed Rate",D40="(Select MIP Rate)"),"Please Complete Net Tangible Benefit Worksheet",IF(AND(G37="Yes",E38="Fixed Rate to Fixed Rate",G40="(Select MIP Rate)"),"Please Complete Net Tangible Benefit Worksheet",IF(AND(G37&lt;&gt;"Yes",E38&lt;&gt;"Fixed Rate to ARM",E38&lt;&gt;"ARM to ARM",D39=""),"Please Complete Net Tangible Benefit Worksheet",IF(G37="(Select Yes or No)","Please Complete Net Tangible Benefit Worksheet",J37)))))))</f>
        <v>Please Complete Net Tangible Benefit Worksheet</v>
      </c>
      <c r="I38" s="111"/>
      <c r="J38" s="53">
        <f>IF(AND(G37="No",E38="Fixed Rate to Fixed Rate",D41-G41&gt;0.499),"Pass, Loan Meets Standard Net Tangible Benefit Guidelines",IF(AND(G37="No",E38="Fixed Rate to Fixed Rate",D41-G41&lt;0.5),"Fail, See Net Tangible Benefit Standards Chart",IF(AND(G37="Yes",E38="Fixed Rate to ARM"),"Pass, Loan Meets Standard Net Tangible Benefit Guidelines",IF(AND(G37="No",E38="Fixed Rate to ARM",D39&lt;&gt;"",G39&lt;&gt;"",D40&lt;&gt;"(Select MIP Rate)",G40&lt;&gt;"(Select MIP Rate)",G42&gt;1.999),"Pass, Loan Meets Standard Net Tangible Benefit Guidelines",IF(AND(G37="No",E38="Fixed Rate to ARM",D39&lt;&gt;"",G39&lt;&gt;"",D40&lt;&gt;"(Select MIP Rate)",G40&lt;&gt;"(Select MIP Rate)",D41-G41&lt;2,D41&lt;&gt;0),"Fail, See Net Tangible Benefit Standards Chart",IF(AND(G37="No",E38="Fixed Rate to ARM",D41-G41&lt;2,D41=0),"Please Complete Net Tangible Benefit Worksheet",IF(AND(G37="No",E38="Fixed Rate to ARM",D39=""),"Please Complete Net Tangible Benefit Worksheet",J39)))))))</f>
        <v>0</v>
      </c>
      <c r="K38" s="53"/>
      <c r="L38" s="53"/>
      <c r="M38" s="53"/>
      <c r="N38" s="54" t="s">
        <v>116</v>
      </c>
      <c r="O38" s="53"/>
      <c r="P38" s="55" t="s">
        <v>117</v>
      </c>
      <c r="Q38" s="56">
        <v>0.45</v>
      </c>
      <c r="R38" s="53"/>
    </row>
    <row r="39" spans="1:18" ht="15" customHeight="1" x14ac:dyDescent="0.2">
      <c r="A39" s="75" t="s">
        <v>118</v>
      </c>
      <c r="B39" s="75"/>
      <c r="C39" s="75"/>
      <c r="D39" s="103"/>
      <c r="E39" s="103"/>
      <c r="F39" s="27" t="s">
        <v>119</v>
      </c>
      <c r="G39" s="5"/>
      <c r="H39" s="111"/>
      <c r="I39" s="111"/>
      <c r="J39" s="53">
        <f>IF(AND(G37="No",E38="Fixed Rate to ARM",G39=""),"Please Complete Net Tangible Benefit Worksheet",IF(AND(G37="No",E38="Fixed Rate to ARM",D40="(Select MIP Rate)"),"Please Complete Net Tangible Benefit Worksheet",IF(AND(G37="No",E38="Fixed Rate to ARM",G40="(Select MIP Rate)"),"Please Complete Net Tangible Benefit Worksheet",IF(AND(G37="No",E38="ARM to Fixed Rate",G41-D41&lt;=2),"Pass, Loan Meets Standard Net Tangible Benefit Guidelines",IF(AND(G37="No",E38="ARM to Fixed Rate",G41-D41&gt;2),"Fail, See Net Tangible Benefit Standards Chart",IF(AND(G37="No",E38="ARM to ARM",G42&gt;0.999),"Pass, Loan Meets Standard Net Tangible Benefit Guidelines",IF(AND(G37="No",E38="ARM to ARM",D39&lt;&gt;"",G39&lt;&gt;"",D40&lt;&gt;"(Select MIP Rate)",G40&lt;&gt;"(Select MIP Rate)",D41-G41&lt;1),"Fail, See Net Tangible Benefit Standards Chart",J40)))))))</f>
        <v>0</v>
      </c>
      <c r="K39" s="53"/>
      <c r="L39" s="53"/>
      <c r="M39" s="53"/>
      <c r="N39" s="53"/>
      <c r="O39" s="53"/>
      <c r="P39" s="55" t="s">
        <v>120</v>
      </c>
      <c r="Q39" s="56">
        <v>0.5</v>
      </c>
      <c r="R39" s="53"/>
    </row>
    <row r="40" spans="1:18" ht="15" customHeight="1" x14ac:dyDescent="0.2">
      <c r="A40" s="75" t="s">
        <v>121</v>
      </c>
      <c r="B40" s="75"/>
      <c r="C40" s="75"/>
      <c r="D40" s="118" t="s">
        <v>111</v>
      </c>
      <c r="E40" s="118"/>
      <c r="F40" s="27" t="s">
        <v>122</v>
      </c>
      <c r="G40" s="33" t="s">
        <v>111</v>
      </c>
      <c r="H40" s="111"/>
      <c r="I40" s="111"/>
      <c r="J40" s="53">
        <f>IF(AND(G37="YES",E38="ARM to ARM"),"Pass, Loan Meets Standard Net Tangible Benefit Guidelines",IF(AND(G37="Yes",E38="Fixed Rate to Fixed Rate",D39&lt;&gt;"",G39&lt;&gt;"",D40&lt;&gt;"(Select MIP Rate)",G40&lt;&gt;"(Select MIP Rate)",D41&lt;=G41),"Fail, See Net Tangible Benefit Standards Chart",IF(AND(G37="Yes",E38="Fixed Rate to Fixed Rate",D39&lt;&gt;"",G39&lt;&gt;"",D40&lt;&gt;"(Select MIP Rate)",G40&lt;&gt;"(Select MIP Rate)",D41&gt;G41),"Please Complete Step II",IF(AND(G37="Yes",E38="ARM to Fixed Rate",D39=""),"Please Complete Net Tangible Benefit Worksheet",IF(AND(G37="Yes",E38="ARM to Fixed Rate",G39=""),"Please Complete Net Tangible Benefit Worksheet",IF(AND(G37="Yes",E38="ARM to Fixed Rate",D40="(Select MIP Rate)"),"Please Complete Net Tangible Benefit Worksheet",J41))))))</f>
        <v>0</v>
      </c>
      <c r="K40" s="53"/>
      <c r="L40" s="53"/>
      <c r="M40" s="53"/>
      <c r="N40" s="53"/>
      <c r="O40" s="53"/>
      <c r="P40" s="55" t="s">
        <v>123</v>
      </c>
      <c r="Q40" s="56">
        <v>0.55000000000000004</v>
      </c>
      <c r="R40" s="53"/>
    </row>
    <row r="41" spans="1:18" ht="15" customHeight="1" x14ac:dyDescent="0.2">
      <c r="A41" s="75" t="s">
        <v>124</v>
      </c>
      <c r="B41" s="75"/>
      <c r="C41" s="75"/>
      <c r="D41" s="119">
        <f>SUM(D39:E40)</f>
        <v>0</v>
      </c>
      <c r="E41" s="119"/>
      <c r="F41" s="27" t="s">
        <v>125</v>
      </c>
      <c r="G41" s="6">
        <f>SUM(G39:G40)</f>
        <v>0</v>
      </c>
      <c r="H41" s="111"/>
      <c r="I41" s="111"/>
      <c r="J41" s="53">
        <f>IF(AND(G37="Yes",E38="ARM to Fixed Rate",G40="(Select MIP Rate)"),"Please Complete Net Tangible Benefit Worksheet",IF(AND(G37="Yes",E38="ARM to Fixed Rate",D39&lt;&gt;"",G39&lt;&gt;"",D40&lt;&gt;"(Select MIP Rate)",G40&lt;&gt;"(Select MIP Rate)",G41-D41&gt;2),"Fail, See Net Tangible Benefit Standards Chart",IF(AND(G37="Yes",E38="ARM to Fixed Rate",D39&lt;&gt;"",G39&lt;&gt;"",D40&lt;&gt;"(Select MIP Rate)",G40&lt;&gt;"(Select MIP Rate)",G41-D41&lt;=2),"Please Complete Step II",)))</f>
        <v>0</v>
      </c>
      <c r="K41" s="53"/>
      <c r="L41" s="53"/>
      <c r="M41" s="53"/>
      <c r="N41" s="53"/>
      <c r="O41" s="53"/>
      <c r="P41" s="53"/>
      <c r="Q41" s="56">
        <v>0.6</v>
      </c>
      <c r="R41" s="53"/>
    </row>
    <row r="42" spans="1:18" ht="15" customHeight="1" x14ac:dyDescent="0.2">
      <c r="A42" s="75" t="s">
        <v>126</v>
      </c>
      <c r="B42" s="75"/>
      <c r="C42" s="75"/>
      <c r="D42" s="75"/>
      <c r="E42" s="75"/>
      <c r="F42" s="75"/>
      <c r="G42" s="7">
        <f>D41-G41</f>
        <v>0</v>
      </c>
      <c r="H42" s="111"/>
      <c r="I42" s="111"/>
      <c r="J42" s="53"/>
      <c r="K42" s="53"/>
      <c r="L42" s="53"/>
      <c r="M42" s="53"/>
      <c r="N42" s="53"/>
      <c r="O42" s="53"/>
      <c r="P42" s="53"/>
      <c r="Q42" s="56">
        <v>0.7</v>
      </c>
      <c r="R42" s="53"/>
    </row>
    <row r="43" spans="1:18" x14ac:dyDescent="0.2">
      <c r="A43" s="166"/>
      <c r="B43" s="166"/>
      <c r="C43" s="166"/>
      <c r="D43" s="166"/>
      <c r="E43" s="166"/>
      <c r="F43" s="166"/>
      <c r="G43" s="166"/>
      <c r="H43" s="166"/>
      <c r="I43" s="166"/>
      <c r="J43" s="53" t="b">
        <f>IF(AND(G37="Yes",E38="Fixed Rate to ARM"),"Pass, Loan Meets Standard Net Tangible Benefit Guidelines",IF(AND(G37="Yes",E38="ARM to ARM"),"Pass, Loan Meets Standard Net Tangible Benefit Guidelines",IF(AND(G37="Yes",E38="Fixed Rate to Fixed Rate",D39=""),"Please Complete Net Tangible Benefit Worksheet",IF(AND(G37="Yes",E38="Fixed Rate to Fixed Rate",G39=""),"Please Complete Net Tangible Benefit Worksheet",IF(AND(G37="Yes",E38="Fixed Rate to Fixed Rate",D40="(Select MIP Rate)"),"Please Complete Net Tangible Benefit Worksheet",IF(AND(G37="Yes",E38="Fixed Rate to Fixed Rate",G40="(Select MIP Rate)"),"Please Complete Net Tangible Benefit Worksheet",IF(AND(G37="Yes",E38="Fixed Rate to Fixed Rate",D45="",H38&lt;&gt;"Fail, See Net Tangible Benefit Standards Chart"),"Please Complete Net Tangible Benefit Worksheet",J44)))))))</f>
        <v>0</v>
      </c>
      <c r="K43" s="53"/>
      <c r="L43" s="53"/>
      <c r="M43" s="53"/>
      <c r="N43" s="53"/>
      <c r="O43" s="53"/>
      <c r="P43" s="53"/>
      <c r="Q43" s="56">
        <v>0.8</v>
      </c>
      <c r="R43" s="53"/>
    </row>
    <row r="44" spans="1:18" ht="27" customHeight="1" x14ac:dyDescent="0.2">
      <c r="A44" s="117" t="s">
        <v>127</v>
      </c>
      <c r="B44" s="117"/>
      <c r="C44" s="117"/>
      <c r="D44" s="117"/>
      <c r="E44" s="117"/>
      <c r="F44" s="117"/>
      <c r="G44" s="27" t="s">
        <v>128</v>
      </c>
      <c r="H44" s="117" t="str">
        <f>IF(G37="(Select Yes or No)","Please Complete Net Tangible Benefit Worksheet",IF(E38="(Select Type)","Please Complete Net Tangible Benefit Worksheet",IF(AND(G37="No",H38="Fail, See Net Tangible Benefit Standards Chart"),"Fail, See Net Tangible Benefit Standards Chart",IF(AND(G37="Yes",H38="Fail, See Net Tangible Benefit Standards Chart"),"Fail, See Net Tangible Benefit Standards Chart",IF(AND(G37="No",H38="Pass, Loan Meets Standard Net Tangible Benefit Guidelines"),"Pass, Loan Meets Standard Net Tangible Benefit Guidelines",IF(AND(G37="No",H38="Please Complete Net Tangible Benefit Worksheet"),"Please Complete Net Tangible Benefit Worksheet",IF(AND(G37="No",H38="Pass,Loan Meets Reduction in Term Guidelines"),"Pass,Loan Meets Reduction in Term Guidelines",J43)))))))</f>
        <v>Please Complete Net Tangible Benefit Worksheet</v>
      </c>
      <c r="I44" s="117"/>
      <c r="J44" s="53" t="b">
        <f>IF(AND(G37="Yes",E38="Fixed Rate to Fixed Rate",G45="",H38&lt;&gt;"Fail, See Net Tangible Benefit Standards Chart"),"Please Complete Net Tangible Benefit Worksheet",IF(AND(G37="Yes",E38="Fixed Rate to Fixed Rate",D40="(Select MIP Rate)"),"Please Complete Net Tangible Benefit Worksheet",IF(AND(G37="Yes",E38="Fixed Rate to Fixed Rate",G40="(Select MIP Rate)"),"Please Complete Net Tangible Benefit Worksheet",IF(AND(G37="Yes",E38="Fixed Rate to Fixed Rate",D40&lt;&gt;"(Select MIP Rate)",G40&lt;&gt;"(Select MIP Rate)",D39&lt;&gt;"",G39&lt;&gt;"",D45&lt;&gt;"",G45&lt;&gt;"",G45&gt;D45+50),"Fail, See Net Tangible Benefit Standards Chart",J45))))</f>
        <v>0</v>
      </c>
      <c r="K44" s="53"/>
      <c r="L44" s="53"/>
      <c r="M44" s="53"/>
      <c r="N44" s="53"/>
      <c r="O44" s="53"/>
      <c r="P44" s="53"/>
      <c r="Q44" s="56">
        <v>0.85</v>
      </c>
      <c r="R44" s="53"/>
    </row>
    <row r="45" spans="1:18" ht="21" customHeight="1" x14ac:dyDescent="0.2">
      <c r="A45" s="75" t="s">
        <v>129</v>
      </c>
      <c r="B45" s="75"/>
      <c r="C45" s="75"/>
      <c r="D45" s="112"/>
      <c r="E45" s="112"/>
      <c r="F45" s="28" t="s">
        <v>130</v>
      </c>
      <c r="G45" s="10"/>
      <c r="H45" s="117"/>
      <c r="I45" s="117"/>
      <c r="J45" s="53" t="b">
        <f>IF(AND(G37="Yes",E38="Fixed Rate to Fixed Rate",D40&lt;&gt;"(Select MIP Rate)",G40&lt;&gt;"(Select MIP Rate)",D39&lt;&gt;"",G39&lt;&gt;"",D45&lt;&gt;"",G45&lt;&gt;"",G45&lt;=D45+50),"Pass, Loan Meets Reduction in Term Guidelines",IF(AND(G37="Yes",E38="ARM to Fixed Rate",D39&lt;&gt;"",G39&lt;&gt;"",D40&lt;&gt;"(Select MIP Rate)",G40&lt;&gt;"(Select MIP Rate)",H38="Fail, See Net Tangible Benefit Standards Chart"),"Fail, See Net Tangible Benefit Standards Chart",IF(AND(G37="Yes",E38="ARM to Fixed Rate",H38="Please Complete Net Tangible Benefit Worksheet"),"Please Complete Net Tangible Benefit Worksheet",J46)))</f>
        <v>0</v>
      </c>
      <c r="K45" s="53"/>
      <c r="L45" s="53"/>
      <c r="M45" s="53"/>
      <c r="N45" s="53"/>
      <c r="O45" s="53"/>
      <c r="P45" s="53"/>
      <c r="Q45" s="56">
        <v>1</v>
      </c>
      <c r="R45" s="53"/>
    </row>
    <row r="46" spans="1:18" x14ac:dyDescent="0.2">
      <c r="A46" s="116" t="s">
        <v>131</v>
      </c>
      <c r="B46" s="116"/>
      <c r="C46" s="116"/>
      <c r="D46" s="116"/>
      <c r="E46" s="116"/>
      <c r="F46" s="116"/>
      <c r="G46" s="29">
        <f>D45-G45</f>
        <v>0</v>
      </c>
      <c r="H46" s="117"/>
      <c r="I46" s="117"/>
      <c r="J46" s="53" t="b">
        <f>IF(AND(G37="Yes",E38="ARM to Fixed Rate",D39&lt;&gt;"",G39&lt;&gt;"",D40&lt;&gt;"(Select MIP Rate)",G40&lt;&gt;"(Select MIP Rate)",H38&lt;&gt;"Fail, See Net Tangible Benefit Standards Chart",D45&lt;&gt;"",G45&lt;&gt;"",G45&gt;D45+50),"Fail, See Net Tangible Benefit Standards Chart",IF(AND(G37="Yes",E38="ARM to Fixed Rate",D39&lt;&gt;"",G39&lt;&gt;"",D40&lt;&gt;"(Select MIP Rate)",G40&lt;&gt;"(Select MIP Rate)",H38&lt;&gt;"Fail, See Net Tangible Benefit Standards Chart",D45&lt;&gt;"",G45&lt;&gt;"",G45&lt;=D45+50),"Pass, Loan Meets Reduction in Term Guidelines",J47))</f>
        <v>0</v>
      </c>
      <c r="K46" s="53"/>
      <c r="L46" s="53"/>
      <c r="M46" s="53"/>
      <c r="N46" s="53"/>
      <c r="O46" s="53"/>
      <c r="P46" s="53"/>
      <c r="Q46" s="56">
        <v>1.05</v>
      </c>
      <c r="R46" s="53"/>
    </row>
    <row r="47" spans="1:18" x14ac:dyDescent="0.2">
      <c r="A47" s="155" t="s">
        <v>132</v>
      </c>
      <c r="B47" s="155"/>
      <c r="C47" s="155"/>
      <c r="D47" s="155"/>
      <c r="E47" s="155"/>
      <c r="F47" s="155"/>
      <c r="G47" s="155"/>
      <c r="H47" s="155"/>
      <c r="I47" s="155"/>
      <c r="J47" s="53" t="b">
        <f>IF(AND(G37="Yes",E38="ARM to Fixed Rate",D39&lt;&gt;"",G39&lt;&gt;"",D40&lt;&gt;"(Select MIP Rate)",G40&lt;&gt;"(Select MIP Rate)",H38&lt;&gt;"Fail, See Net Tangible Benefit Standards Chart",D45=""),"Please Complete Net Tangible Benefit Worksheet",IF(AND(G37="Yes",E38="ARM to Fixed Rate",D39&lt;&gt;"",G39&lt;&gt;"",D40&lt;&gt;"(Select MIP Rate)",G40&lt;&gt;"(Select MIP Rate)",H38&lt;&gt;"Fail, See Net Tangible Benefit Standards Chart",G45=""),"Please Complete Net Tangible Benefit Worksheet",IF(AND(G37="Yes",E38="ARM to Fixed Rate",D40&lt;&gt;"(Select MIP Rate)",G40&lt;&gt;"(Select MIP Rate)",D39&lt;&gt;"",G39&lt;&gt;"",D45&lt;&gt;"",G45&lt;&gt;"",G45&lt;=D45+50),"Pass, Loan Meets Reduction in Term Guidelines")))</f>
        <v>0</v>
      </c>
      <c r="K47" s="53"/>
      <c r="L47" s="53"/>
      <c r="M47" s="53"/>
      <c r="N47" s="53"/>
      <c r="O47" s="53"/>
      <c r="P47" s="53"/>
      <c r="Q47" s="56">
        <v>1.1000000000000001</v>
      </c>
      <c r="R47" s="53"/>
    </row>
    <row r="48" spans="1:18" x14ac:dyDescent="0.2">
      <c r="A48" s="113" t="s">
        <v>133</v>
      </c>
      <c r="B48" s="113"/>
      <c r="C48" s="113" t="s">
        <v>134</v>
      </c>
      <c r="D48" s="113"/>
      <c r="E48" s="113" t="s">
        <v>135</v>
      </c>
      <c r="F48" s="113"/>
      <c r="G48" s="113"/>
      <c r="H48" s="113"/>
      <c r="I48" s="113"/>
      <c r="J48" s="53"/>
      <c r="K48" s="53"/>
      <c r="L48" s="53"/>
      <c r="M48" s="53"/>
      <c r="N48" s="53"/>
      <c r="O48" s="53"/>
      <c r="P48" s="53"/>
      <c r="Q48" s="56">
        <v>1.1499999999999999</v>
      </c>
      <c r="R48" s="53"/>
    </row>
    <row r="49" spans="1:18" x14ac:dyDescent="0.2">
      <c r="A49" s="63" t="s">
        <v>136</v>
      </c>
      <c r="B49" s="63"/>
      <c r="C49" s="63" t="s">
        <v>136</v>
      </c>
      <c r="D49" s="63"/>
      <c r="E49" s="63" t="s">
        <v>137</v>
      </c>
      <c r="F49" s="63"/>
      <c r="G49" s="63"/>
      <c r="H49" s="63"/>
      <c r="I49" s="63"/>
      <c r="J49" s="53"/>
      <c r="K49" s="53"/>
      <c r="L49" s="53"/>
      <c r="M49" s="53"/>
      <c r="N49" s="53"/>
      <c r="O49" s="53"/>
      <c r="P49" s="53"/>
      <c r="Q49" s="56">
        <v>1.3</v>
      </c>
      <c r="R49" s="53"/>
    </row>
    <row r="50" spans="1:18" x14ac:dyDescent="0.2">
      <c r="A50" s="63" t="s">
        <v>138</v>
      </c>
      <c r="B50" s="63"/>
      <c r="C50" s="63" t="s">
        <v>136</v>
      </c>
      <c r="D50" s="63"/>
      <c r="E50" s="63" t="s">
        <v>139</v>
      </c>
      <c r="F50" s="63"/>
      <c r="G50" s="63"/>
      <c r="H50" s="63"/>
      <c r="I50" s="63"/>
      <c r="J50" s="53"/>
      <c r="K50" s="53"/>
      <c r="L50" s="53"/>
      <c r="M50" s="53"/>
      <c r="N50" s="53"/>
      <c r="O50" s="53"/>
      <c r="P50" s="53"/>
      <c r="Q50" s="56">
        <v>1.35</v>
      </c>
      <c r="R50" s="53"/>
    </row>
    <row r="51" spans="1:18" x14ac:dyDescent="0.2">
      <c r="A51" s="167" t="s">
        <v>140</v>
      </c>
      <c r="B51" s="167"/>
      <c r="C51" s="167"/>
      <c r="D51" s="167"/>
      <c r="E51" s="167"/>
      <c r="F51" s="167"/>
      <c r="G51" s="167"/>
      <c r="H51" s="167"/>
      <c r="I51" s="167"/>
      <c r="J51" s="53"/>
      <c r="K51" s="53"/>
      <c r="L51" s="53"/>
      <c r="M51" s="53"/>
      <c r="N51" s="53"/>
      <c r="O51" s="53"/>
      <c r="P51" s="53"/>
      <c r="Q51" s="56">
        <v>1.5</v>
      </c>
      <c r="R51" s="53"/>
    </row>
    <row r="52" spans="1:18" x14ac:dyDescent="0.2">
      <c r="A52" s="113" t="s">
        <v>133</v>
      </c>
      <c r="B52" s="113"/>
      <c r="C52" s="113" t="s">
        <v>134</v>
      </c>
      <c r="D52" s="113"/>
      <c r="E52" s="113" t="s">
        <v>135</v>
      </c>
      <c r="F52" s="113"/>
      <c r="G52" s="113"/>
      <c r="H52" s="113"/>
      <c r="I52" s="113"/>
      <c r="J52" s="53"/>
      <c r="K52" s="53"/>
      <c r="L52" s="53"/>
      <c r="M52" s="53"/>
      <c r="N52" s="53"/>
      <c r="O52" s="53"/>
      <c r="P52" s="53"/>
      <c r="Q52" s="56">
        <v>1.55</v>
      </c>
      <c r="R52" s="53"/>
    </row>
    <row r="53" spans="1:18" ht="15" customHeight="1" x14ac:dyDescent="0.2">
      <c r="A53" s="63" t="s">
        <v>136</v>
      </c>
      <c r="B53" s="63"/>
      <c r="C53" s="63" t="s">
        <v>136</v>
      </c>
      <c r="D53" s="63"/>
      <c r="E53" s="63" t="s">
        <v>141</v>
      </c>
      <c r="F53" s="63"/>
      <c r="G53" s="63"/>
      <c r="H53" s="63"/>
      <c r="I53" s="63"/>
      <c r="J53" s="53"/>
      <c r="K53" s="53"/>
      <c r="L53" s="53"/>
      <c r="M53" s="53"/>
      <c r="N53" s="53"/>
      <c r="O53" s="53"/>
      <c r="P53" s="53"/>
      <c r="Q53" s="53"/>
      <c r="R53" s="53"/>
    </row>
    <row r="54" spans="1:18" x14ac:dyDescent="0.2">
      <c r="A54" s="110" t="s">
        <v>138</v>
      </c>
      <c r="B54" s="110"/>
      <c r="C54" s="110" t="s">
        <v>136</v>
      </c>
      <c r="D54" s="110"/>
      <c r="E54" s="110" t="s">
        <v>142</v>
      </c>
      <c r="F54" s="110"/>
      <c r="G54" s="110"/>
      <c r="H54" s="110"/>
      <c r="I54" s="110"/>
      <c r="J54" s="53"/>
      <c r="K54" s="53"/>
      <c r="L54" s="53"/>
      <c r="M54" s="53"/>
      <c r="N54" s="53"/>
      <c r="O54" s="53"/>
      <c r="P54" s="53"/>
      <c r="Q54" s="53"/>
      <c r="R54" s="53"/>
    </row>
    <row r="55" spans="1:18" x14ac:dyDescent="0.2">
      <c r="A55" s="157" t="s">
        <v>143</v>
      </c>
      <c r="B55" s="158"/>
      <c r="C55" s="158"/>
      <c r="D55" s="158"/>
      <c r="E55" s="158"/>
      <c r="F55" s="158"/>
      <c r="G55" s="158"/>
      <c r="H55" s="158"/>
      <c r="I55" s="159"/>
      <c r="J55" s="53"/>
      <c r="K55" s="53"/>
      <c r="L55" s="53"/>
      <c r="M55" s="53"/>
      <c r="N55" s="53"/>
      <c r="O55" s="53"/>
      <c r="P55" s="53"/>
      <c r="Q55" s="53"/>
      <c r="R55" s="53"/>
    </row>
    <row r="56" spans="1:18" x14ac:dyDescent="0.2">
      <c r="A56" s="160" t="s">
        <v>144</v>
      </c>
      <c r="B56" s="161"/>
      <c r="C56" s="161"/>
      <c r="D56" s="161"/>
      <c r="E56" s="161"/>
      <c r="F56" s="161"/>
      <c r="G56" s="161"/>
      <c r="H56" s="161"/>
      <c r="I56" s="162"/>
      <c r="J56" s="53"/>
      <c r="K56" s="53"/>
      <c r="L56" s="53"/>
      <c r="M56" s="53"/>
      <c r="N56" s="53"/>
      <c r="O56" s="53"/>
      <c r="P56" s="53"/>
      <c r="Q56" s="53"/>
      <c r="R56" s="53"/>
    </row>
    <row r="57" spans="1:18" x14ac:dyDescent="0.2">
      <c r="A57" s="163"/>
      <c r="B57" s="164"/>
      <c r="C57" s="164"/>
      <c r="D57" s="164"/>
      <c r="E57" s="164"/>
      <c r="F57" s="164"/>
      <c r="G57" s="164"/>
      <c r="H57" s="164"/>
      <c r="I57" s="165"/>
    </row>
    <row r="59" spans="1:18" ht="15" customHeight="1" x14ac:dyDescent="0.2">
      <c r="A59" s="155" t="s">
        <v>79</v>
      </c>
      <c r="B59" s="155"/>
      <c r="C59" s="155"/>
      <c r="D59" s="155"/>
      <c r="E59" s="155"/>
      <c r="F59" s="155"/>
      <c r="G59" s="155"/>
      <c r="H59" s="114">
        <f>SUM(I20,I21,I22)</f>
        <v>0</v>
      </c>
      <c r="I59" s="115"/>
    </row>
    <row r="60" spans="1:18" x14ac:dyDescent="0.2">
      <c r="A60" s="42" t="s">
        <v>145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E6" name="Range1"/>
    <protectedRange sqref="E6" name="Range2"/>
    <protectedRange sqref="E6" name="Range3"/>
  </protectedRanges>
  <mergeCells count="94">
    <mergeCell ref="A8:I8"/>
    <mergeCell ref="E10:H10"/>
    <mergeCell ref="G1:I5"/>
    <mergeCell ref="B6:C6"/>
    <mergeCell ref="E6:F6"/>
    <mergeCell ref="G6:I6"/>
    <mergeCell ref="E7:F7"/>
    <mergeCell ref="G7:I7"/>
    <mergeCell ref="C9:D9"/>
    <mergeCell ref="C10:D10"/>
    <mergeCell ref="A11:I11"/>
    <mergeCell ref="E9:H9"/>
    <mergeCell ref="A25:G25"/>
    <mergeCell ref="A10:B10"/>
    <mergeCell ref="A9:B9"/>
    <mergeCell ref="A12:I12"/>
    <mergeCell ref="A20:G20"/>
    <mergeCell ref="A18:I18"/>
    <mergeCell ref="A13:G13"/>
    <mergeCell ref="A14:G14"/>
    <mergeCell ref="A15:G15"/>
    <mergeCell ref="A17:G17"/>
    <mergeCell ref="A16:F16"/>
    <mergeCell ref="H59:I59"/>
    <mergeCell ref="A33:H33"/>
    <mergeCell ref="A46:F46"/>
    <mergeCell ref="H44:I46"/>
    <mergeCell ref="A44:F44"/>
    <mergeCell ref="C50:D50"/>
    <mergeCell ref="E49:I49"/>
    <mergeCell ref="E50:I50"/>
    <mergeCell ref="A45:C45"/>
    <mergeCell ref="A40:C40"/>
    <mergeCell ref="D40:E40"/>
    <mergeCell ref="A41:C41"/>
    <mergeCell ref="D41:E41"/>
    <mergeCell ref="A59:G59"/>
    <mergeCell ref="A55:I55"/>
    <mergeCell ref="A56:I57"/>
    <mergeCell ref="D45:E45"/>
    <mergeCell ref="A52:B52"/>
    <mergeCell ref="C52:D52"/>
    <mergeCell ref="E52:I52"/>
    <mergeCell ref="A53:B53"/>
    <mergeCell ref="C53:D53"/>
    <mergeCell ref="E53:I53"/>
    <mergeCell ref="A51:I51"/>
    <mergeCell ref="A47:I47"/>
    <mergeCell ref="A48:B48"/>
    <mergeCell ref="C48:D48"/>
    <mergeCell ref="E48:I48"/>
    <mergeCell ref="A49:B49"/>
    <mergeCell ref="A50:B50"/>
    <mergeCell ref="K21:P21"/>
    <mergeCell ref="A19:I19"/>
    <mergeCell ref="A21:G21"/>
    <mergeCell ref="A24:G24"/>
    <mergeCell ref="A54:B54"/>
    <mergeCell ref="C54:D54"/>
    <mergeCell ref="E54:I54"/>
    <mergeCell ref="A29:I29"/>
    <mergeCell ref="A31:H31"/>
    <mergeCell ref="C49:D49"/>
    <mergeCell ref="A28:G28"/>
    <mergeCell ref="A27:F27"/>
    <mergeCell ref="A30:F30"/>
    <mergeCell ref="A42:F42"/>
    <mergeCell ref="A43:I43"/>
    <mergeCell ref="H38:I42"/>
    <mergeCell ref="D39:E39"/>
    <mergeCell ref="A37:F37"/>
    <mergeCell ref="G37:I37"/>
    <mergeCell ref="A22:G22"/>
    <mergeCell ref="A23:G23"/>
    <mergeCell ref="A38:D38"/>
    <mergeCell ref="A36:I36"/>
    <mergeCell ref="A39:C39"/>
    <mergeCell ref="A32:H32"/>
    <mergeCell ref="A34:H34"/>
    <mergeCell ref="E38:G38"/>
    <mergeCell ref="A26:G26"/>
    <mergeCell ref="Q18:Q19"/>
    <mergeCell ref="K15:O15"/>
    <mergeCell ref="Q15:Q16"/>
    <mergeCell ref="K11:Q11"/>
    <mergeCell ref="K1:Q6"/>
    <mergeCell ref="K9:Q9"/>
    <mergeCell ref="Q12:Q13"/>
    <mergeCell ref="K14:Q14"/>
    <mergeCell ref="K12:O13"/>
    <mergeCell ref="P12:P13"/>
    <mergeCell ref="K16:O16"/>
    <mergeCell ref="K18:O18"/>
    <mergeCell ref="K19:O19"/>
  </mergeCells>
  <conditionalFormatting sqref="A36">
    <cfRule type="containsText" dxfId="37" priority="29" operator="containsText" text="Pass, Loan Has a Net Tangible Benefit">
      <formula>NOT(ISERROR(SEARCH("Pass, Loan Has a Net Tangible Benefit",A36)))</formula>
    </cfRule>
    <cfRule type="containsText" dxfId="36" priority="28" operator="containsText" text="Please Complete Net Tangible Benefit Worksheet">
      <formula>NOT(ISERROR(SEARCH("Please Complete Net Tangible Benefit Worksheet",A36)))</formula>
    </cfRule>
    <cfRule type="containsText" dxfId="35" priority="27" operator="containsText" text="Fail, See Net Tangible Benefit Standards Chart">
      <formula>NOT(ISERROR(SEARCH("Fail, See Net Tangible Benefit Standards Chart",A36)))</formula>
    </cfRule>
    <cfRule type="containsText" dxfId="34" priority="26" operator="containsText" text="Pass, Loan Meets Reduction in Term Guidelines">
      <formula>NOT(ISERROR(SEARCH("Pass, Loan Meets Reduction in Term Guidelines",A36)))</formula>
    </cfRule>
  </conditionalFormatting>
  <conditionalFormatting sqref="H38">
    <cfRule type="containsText" dxfId="33" priority="32" operator="containsText" text="Pass, Loan Has a Net Tangible Benefit">
      <formula>NOT(ISERROR(SEARCH("Pass, Loan Has a Net Tangible Benefit",H38)))</formula>
    </cfRule>
    <cfRule type="containsText" dxfId="32" priority="15" operator="containsText" text="Pass, Loan Meets Standard Net Tangible Benefit Guidelines">
      <formula>NOT(ISERROR(SEARCH("Pass, Loan Meets Standard Net Tangible Benefit Guidelines",H38)))</formula>
    </cfRule>
    <cfRule type="containsText" dxfId="31" priority="31" operator="containsText" text="Please Complete Step I">
      <formula>NOT(ISERROR(SEARCH("Please Complete Step I",H38)))</formula>
    </cfRule>
    <cfRule type="containsText" dxfId="30" priority="30" operator="containsText" text="Proceed to Step II">
      <formula>NOT(ISERROR(SEARCH("Proceed to Step II",H38)))</formula>
    </cfRule>
    <cfRule type="containsText" dxfId="29" priority="13" operator="containsText" text="Please Procede to Step II">
      <formula>NOT(ISERROR(SEARCH("Please Procede to Step II",H38)))</formula>
    </cfRule>
    <cfRule type="cellIs" dxfId="28" priority="10" operator="equal">
      <formula>"Pass,Loan Meets Reduction in Term Guidelines"</formula>
    </cfRule>
    <cfRule type="containsText" dxfId="27" priority="11" operator="containsText" text="Fail, See Net Tangible Benefit Standards Chart">
      <formula>NOT(ISERROR(SEARCH("Fail, See Net Tangible Benefit Standards Chart",H38)))</formula>
    </cfRule>
    <cfRule type="containsText" dxfId="26" priority="12" operator="containsText" text="Please Complete Net Tangible Benefit Worksheet">
      <formula>NOT(ISERROR(SEARCH("Please Complete Net Tangible Benefit Worksheet",H38)))</formula>
    </cfRule>
  </conditionalFormatting>
  <conditionalFormatting sqref="H44">
    <cfRule type="containsText" dxfId="25" priority="14" operator="containsText" text="Pass, Loan Meets Standard Net Tangible Benefit Guidelines">
      <formula>NOT(ISERROR(SEARCH("Pass, Loan Meets Standard Net Tangible Benefit Guidelines",H44)))</formula>
    </cfRule>
    <cfRule type="containsText" dxfId="24" priority="21" operator="containsText" text="Pass, Loan Meets Reduction in Term Guidelines">
      <formula>NOT(ISERROR(SEARCH("Pass, Loan Meets Reduction in Term Guidelines",H44)))</formula>
    </cfRule>
    <cfRule type="containsText" dxfId="23" priority="24" operator="containsText" text="Pass, New Combined Rate is at Least 2% below Prior Combined Rate ">
      <formula>NOT(ISERROR(SEARCH("Pass, New Combined Rate is at Least 2% below Prior Combined Rate ",H44)))</formula>
    </cfRule>
    <cfRule type="containsText" dxfId="22" priority="19" operator="containsText" text="Pass, New Combined Rate is at Least 1% Below Prior Combined Rate">
      <formula>NOT(ISERROR(SEARCH("Pass, New Combined Rate is at Least 1% Below Prior Combined Rate",H44)))</formula>
    </cfRule>
    <cfRule type="containsText" dxfId="21" priority="20" operator="containsText" text="Pass, New Combined Rate is at Least 2% Above Prior Combined Rate">
      <formula>NOT(ISERROR(SEARCH("Pass, New Combined Rate is at Least 2% Above Prior Combined Rate",H44)))</formula>
    </cfRule>
    <cfRule type="containsText" dxfId="20" priority="25" operator="containsText" text="Please Complete Net Tangible Benefit Worksheet">
      <formula>NOT(ISERROR(SEARCH("Please Complete Net Tangible Benefit Worksheet",H44)))</formula>
    </cfRule>
    <cfRule type="containsText" dxfId="19" priority="22" operator="containsText" text="Fail, See Net Tangible Benefit Standards Chart">
      <formula>NOT(ISERROR(SEARCH("Fail, See Net Tangible Benefit Standards Chart",H44)))</formula>
    </cfRule>
    <cfRule type="containsText" dxfId="18" priority="23" operator="containsText" text="Pass, New Combined Rate is at Least .5%  below Prior Combined Rate">
      <formula>NOT(ISERROR(SEARCH("Pass, New Combined Rate is at Least .5%  below Prior Combined Rate",H44)))</formula>
    </cfRule>
  </conditionalFormatting>
  <conditionalFormatting sqref="Q12:Q13">
    <cfRule type="containsText" dxfId="17" priority="8" operator="containsText" text="Ineligible">
      <formula>NOT(ISERROR(SEARCH("Ineligible",Q12)))</formula>
    </cfRule>
    <cfRule type="containsText" dxfId="16" priority="9" operator="containsText" text="Proceed to Date Calculator">
      <formula>NOT(ISERROR(SEARCH("Proceed to Date Calculator",Q12)))</formula>
    </cfRule>
  </conditionalFormatting>
  <conditionalFormatting sqref="Q15:Q16">
    <cfRule type="containsText" dxfId="15" priority="6" operator="containsText" text="NOT ELIGIBLE">
      <formula>NOT(ISERROR(SEARCH("NOT ELIGIBLE",Q15)))</formula>
    </cfRule>
    <cfRule type="containsText" dxfId="14" priority="5" operator="containsText" text="INELIGIBLE">
      <formula>NOT(ISERROR(SEARCH("INELIGIBLE",Q15)))</formula>
    </cfRule>
    <cfRule type="containsText" dxfId="13" priority="7" operator="containsText" text="ELIGIBLE">
      <formula>NOT(ISERROR(SEARCH("ELIGIBLE",Q15)))</formula>
    </cfRule>
  </conditionalFormatting>
  <conditionalFormatting sqref="Q18:Q19">
    <cfRule type="containsText" dxfId="12" priority="3" operator="containsText" text="INELIGIBLE">
      <formula>NOT(ISERROR(SEARCH("INELIGIBLE",Q18)))</formula>
    </cfRule>
    <cfRule type="containsText" dxfId="11" priority="4" operator="containsText" text="Eligible">
      <formula>NOT(ISERROR(SEARCH("Eligible",Q18)))</formula>
    </cfRule>
  </conditionalFormatting>
  <conditionalFormatting sqref="Q21">
    <cfRule type="containsText" dxfId="10" priority="2" operator="containsText" text="DOES NOT MEET SEASONING REQUIREMENTS">
      <formula>NOT(ISERROR(SEARCH("DOES NOT MEET SEASONING REQUIREMENTS",Q21)))</formula>
    </cfRule>
    <cfRule type="containsText" dxfId="9" priority="1" operator="containsText" text="MEETS SEASONING REQUIREMENTS">
      <formula>NOT(ISERROR(SEARCH("MEETS SEASONING REQUIREMENTS",Q21)))</formula>
    </cfRule>
  </conditionalFormatting>
  <dataValidations count="6">
    <dataValidation type="list" allowBlank="1" showInputMessage="1" showErrorMessage="1" sqref="C10:D10" xr:uid="{00000000-0002-0000-0200-000000000000}">
      <formula1>"(Select UFMIP Rate),0.00%,0.01%,1.00%,1.5%,1.75%,2.00%,2.25%"</formula1>
    </dataValidation>
    <dataValidation type="list" allowBlank="1" showInputMessage="1" showErrorMessage="1" sqref="I9" xr:uid="{00000000-0002-0000-0200-000001000000}">
      <formula1>"(Select Month),January,February,March,April,May,June,July,August,September,October,November,December"</formula1>
    </dataValidation>
    <dataValidation type="list" allowBlank="1" showInputMessage="1" showErrorMessage="1" sqref="N38" xr:uid="{00000000-0002-0000-0200-000002000000}">
      <formula1>$A$2:$A$3</formula1>
    </dataValidation>
    <dataValidation type="list" allowBlank="1" showInputMessage="1" showErrorMessage="1" sqref="G37:I37" xr:uid="{00000000-0002-0000-0200-000003000000}">
      <formula1>$N$36:$N$38</formula1>
    </dataValidation>
    <dataValidation type="list" allowBlank="1" showInputMessage="1" showErrorMessage="1" sqref="E38:G38" xr:uid="{00000000-0002-0000-0200-000004000000}">
      <formula1>$P$36:$P$40</formula1>
    </dataValidation>
    <dataValidation type="list" allowBlank="1" showInputMessage="1" showErrorMessage="1" sqref="D40:E40 G40" xr:uid="{00000000-0002-0000-0200-000005000000}">
      <formula1>$Q$36:$Q$52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"/>
  <sheetViews>
    <sheetView showGridLines="0" tabSelected="1" workbookViewId="0">
      <selection activeCell="N21" sqref="N21"/>
    </sheetView>
  </sheetViews>
  <sheetFormatPr baseColWidth="10" defaultColWidth="9" defaultRowHeight="15" x14ac:dyDescent="0.2"/>
  <cols>
    <col min="1" max="5" width="9" style="12"/>
    <col min="6" max="6" width="12.83203125" style="12" customWidth="1"/>
    <col min="7" max="7" width="41" style="12" customWidth="1"/>
    <col min="8" max="16384" width="9" style="12"/>
  </cols>
  <sheetData>
    <row r="1" spans="1:14" ht="81.5" customHeight="1" x14ac:dyDescent="0.45">
      <c r="H1" s="170" t="s">
        <v>146</v>
      </c>
      <c r="I1" s="170"/>
      <c r="J1" s="170"/>
      <c r="K1" s="170"/>
      <c r="L1" s="170"/>
      <c r="M1" s="170"/>
      <c r="N1" s="170"/>
    </row>
    <row r="2" spans="1:14" x14ac:dyDescent="0.2">
      <c r="A2" s="155" t="s">
        <v>147</v>
      </c>
      <c r="B2" s="155"/>
      <c r="C2" s="155"/>
      <c r="D2" s="155"/>
      <c r="E2" s="155"/>
      <c r="F2" s="155"/>
      <c r="G2" s="155"/>
      <c r="H2" s="135" t="s">
        <v>148</v>
      </c>
      <c r="I2" s="136"/>
      <c r="J2" s="136"/>
      <c r="K2" s="136"/>
      <c r="L2" s="136"/>
      <c r="M2" s="136"/>
      <c r="N2" s="137"/>
    </row>
    <row r="3" spans="1:14" x14ac:dyDescent="0.2">
      <c r="A3" s="75" t="s">
        <v>149</v>
      </c>
      <c r="B3" s="75"/>
      <c r="C3" s="75"/>
      <c r="D3" s="75"/>
      <c r="E3" s="75"/>
      <c r="F3" s="101"/>
      <c r="G3" s="88" t="str">
        <f>IF(F3="","",IF(F3&gt;5,"PROCEED TO DATE CALCULATOR","INELIGIBLE"))</f>
        <v/>
      </c>
      <c r="H3" s="138"/>
      <c r="I3" s="139"/>
      <c r="J3" s="139"/>
      <c r="K3" s="139"/>
      <c r="L3" s="139"/>
      <c r="M3" s="139"/>
      <c r="N3" s="140"/>
    </row>
    <row r="4" spans="1:14" x14ac:dyDescent="0.2">
      <c r="A4" s="75"/>
      <c r="B4" s="75"/>
      <c r="C4" s="75"/>
      <c r="D4" s="75"/>
      <c r="E4" s="75"/>
      <c r="F4" s="101"/>
      <c r="G4" s="88"/>
      <c r="H4" s="138"/>
      <c r="I4" s="139"/>
      <c r="J4" s="139"/>
      <c r="K4" s="139"/>
      <c r="L4" s="139"/>
      <c r="M4" s="139"/>
      <c r="N4" s="140"/>
    </row>
    <row r="5" spans="1:14" x14ac:dyDescent="0.2">
      <c r="A5" s="169" t="s">
        <v>92</v>
      </c>
      <c r="B5" s="169"/>
      <c r="C5" s="169"/>
      <c r="D5" s="169"/>
      <c r="E5" s="169"/>
      <c r="F5" s="169"/>
      <c r="G5" s="169"/>
      <c r="H5" s="138"/>
      <c r="I5" s="139"/>
      <c r="J5" s="139"/>
      <c r="K5" s="139"/>
      <c r="L5" s="139"/>
      <c r="M5" s="139"/>
      <c r="N5" s="140"/>
    </row>
    <row r="6" spans="1:14" x14ac:dyDescent="0.2">
      <c r="A6" s="68" t="s">
        <v>150</v>
      </c>
      <c r="B6" s="68"/>
      <c r="C6" s="68"/>
      <c r="D6" s="68"/>
      <c r="E6" s="68"/>
      <c r="F6" s="30"/>
      <c r="G6" s="88" t="str">
        <f>IF(F7="","",IF(F7-F6&gt;209,"ELIGIBLE","INELIGIBLE"))</f>
        <v/>
      </c>
      <c r="H6" s="138"/>
      <c r="I6" s="139"/>
      <c r="J6" s="139"/>
      <c r="K6" s="139"/>
      <c r="L6" s="139"/>
      <c r="M6" s="139"/>
      <c r="N6" s="140"/>
    </row>
    <row r="7" spans="1:14" x14ac:dyDescent="0.2">
      <c r="A7" s="68" t="s">
        <v>96</v>
      </c>
      <c r="B7" s="68"/>
      <c r="C7" s="68"/>
      <c r="D7" s="68"/>
      <c r="E7" s="68"/>
      <c r="F7" s="30"/>
      <c r="G7" s="88"/>
      <c r="H7" s="141"/>
      <c r="I7" s="142"/>
      <c r="J7" s="142"/>
      <c r="K7" s="142"/>
      <c r="L7" s="142"/>
      <c r="M7" s="142"/>
      <c r="N7" s="143"/>
    </row>
    <row r="9" spans="1:14" x14ac:dyDescent="0.2">
      <c r="A9" s="145" t="s">
        <v>151</v>
      </c>
      <c r="B9" s="146"/>
      <c r="C9" s="146"/>
      <c r="D9" s="146"/>
      <c r="E9" s="147"/>
      <c r="F9" s="133"/>
      <c r="G9" s="151" t="str">
        <f>IF(F9="","",IF(F9&gt;11,"ELIGIBLE","INELIGIBLE"))</f>
        <v/>
      </c>
      <c r="H9" s="144" t="s">
        <v>8</v>
      </c>
      <c r="I9" s="144"/>
      <c r="J9" s="144"/>
      <c r="K9" s="144"/>
      <c r="L9" s="144"/>
      <c r="M9" s="144"/>
      <c r="N9" s="144"/>
    </row>
    <row r="10" spans="1:14" ht="23.25" customHeight="1" x14ac:dyDescent="0.2">
      <c r="A10" s="148"/>
      <c r="B10" s="149"/>
      <c r="C10" s="149"/>
      <c r="D10" s="149"/>
      <c r="E10" s="150"/>
      <c r="F10" s="134"/>
      <c r="G10" s="151"/>
      <c r="H10" s="144"/>
      <c r="I10" s="144"/>
      <c r="J10" s="144"/>
      <c r="K10" s="144"/>
      <c r="L10" s="144"/>
      <c r="M10" s="144"/>
      <c r="N10" s="144"/>
    </row>
    <row r="12" spans="1:14" x14ac:dyDescent="0.2">
      <c r="A12" s="169" t="s">
        <v>101</v>
      </c>
      <c r="B12" s="169"/>
      <c r="C12" s="169"/>
      <c r="D12" s="169"/>
      <c r="E12" s="169"/>
      <c r="F12" s="169"/>
      <c r="G12" s="32" t="str">
        <f>IF(AND(G3="",G6="",G9=""),"DOES NOT MEET SEASONING REQUIREMENTS",IF(AND(G3="Proceed to Date Calculator",G6="eligible",G9="eligible"),"MEETS SEASONING REQUIREMENTS","DOES NOT MEET SEASONING REQUIREMENTS"))</f>
        <v>DOES NOT MEET SEASONING REQUIREMENTS</v>
      </c>
    </row>
  </sheetData>
  <sheetProtection algorithmName="SHA-512" hashValue="qR5S6PNyCsx2ECioj9KlJx+lU0UKLgkVSHd8l+sd78otL3jHyaVNrg1xVXbPDDgAcy6UBnVLkp8P3bCf0ktVGQ==" saltValue="DKxW0mhEp9jpjhVJCrxhOg==" spinCount="100000" sheet="1" formatCells="0" formatColumns="0" formatRows="0" insertColumns="0" insertRows="0" insertHyperlinks="0" deleteColumns="0" deleteRows="0" sort="0" autoFilter="0" pivotTables="0"/>
  <protectedRanges>
    <protectedRange sqref="F9" name="Range1"/>
  </protectedRanges>
  <mergeCells count="15">
    <mergeCell ref="A12:F12"/>
    <mergeCell ref="F9:F10"/>
    <mergeCell ref="H2:N7"/>
    <mergeCell ref="H1:N1"/>
    <mergeCell ref="H9:N10"/>
    <mergeCell ref="A2:G2"/>
    <mergeCell ref="A3:E4"/>
    <mergeCell ref="F3:F4"/>
    <mergeCell ref="G3:G4"/>
    <mergeCell ref="A5:G5"/>
    <mergeCell ref="A6:E6"/>
    <mergeCell ref="A9:E10"/>
    <mergeCell ref="G6:G7"/>
    <mergeCell ref="A7:E7"/>
    <mergeCell ref="G9:G10"/>
  </mergeCells>
  <conditionalFormatting sqref="G3:G4">
    <cfRule type="containsText" dxfId="8" priority="9" operator="containsText" text="Proceed to Date Calculator">
      <formula>NOT(ISERROR(SEARCH("Proceed to Date Calculator",G3)))</formula>
    </cfRule>
    <cfRule type="containsText" dxfId="7" priority="8" operator="containsText" text="Ineligible">
      <formula>NOT(ISERROR(SEARCH("Ineligible",G3)))</formula>
    </cfRule>
  </conditionalFormatting>
  <conditionalFormatting sqref="G6:G7">
    <cfRule type="containsText" dxfId="6" priority="5" operator="containsText" text="INELIGIBLE">
      <formula>NOT(ISERROR(SEARCH("INELIGIBLE",G6)))</formula>
    </cfRule>
    <cfRule type="containsText" dxfId="5" priority="6" operator="containsText" text="NOT ELIGIBLE">
      <formula>NOT(ISERROR(SEARCH("NOT ELIGIBLE",G6)))</formula>
    </cfRule>
    <cfRule type="containsText" dxfId="4" priority="7" operator="containsText" text="ELIGIBLE">
      <formula>NOT(ISERROR(SEARCH("ELIGIBLE",G6)))</formula>
    </cfRule>
  </conditionalFormatting>
  <conditionalFormatting sqref="G9:G10">
    <cfRule type="containsText" dxfId="3" priority="4" operator="containsText" text="Eligible">
      <formula>NOT(ISERROR(SEARCH("Eligible",G9)))</formula>
    </cfRule>
    <cfRule type="containsText" dxfId="2" priority="3" operator="containsText" text="INELIGIBLE">
      <formula>NOT(ISERROR(SEARCH("INELIGIBLE",G9)))</formula>
    </cfRule>
  </conditionalFormatting>
  <conditionalFormatting sqref="G12">
    <cfRule type="containsText" dxfId="1" priority="2" operator="containsText" text="DOES NOT MEET SEASONING REQUIREMENTS">
      <formula>NOT(ISERROR(SEARCH("DOES NOT MEET SEASONING REQUIREMENTS",G12)))</formula>
    </cfRule>
    <cfRule type="containsText" dxfId="0" priority="1" operator="containsText" text="MEETS SEASONING REQUIREMENTS">
      <formula>NOT(ISERROR(SEARCH("MEETS SEASONING REQUIREMENTS",G12)))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"/>
  <sheetViews>
    <sheetView workbookViewId="0">
      <selection activeCell="F1" sqref="F1:F17"/>
    </sheetView>
  </sheetViews>
  <sheetFormatPr baseColWidth="10" defaultColWidth="8.83203125" defaultRowHeight="15" x14ac:dyDescent="0.2"/>
  <cols>
    <col min="1" max="1" width="16.6640625" bestFit="1" customWidth="1"/>
    <col min="2" max="2" width="22.6640625" bestFit="1" customWidth="1"/>
    <col min="3" max="3" width="38.6640625" bestFit="1" customWidth="1"/>
    <col min="4" max="4" width="18.6640625" bestFit="1" customWidth="1"/>
    <col min="5" max="5" width="14.33203125" bestFit="1" customWidth="1"/>
    <col min="6" max="6" width="16.33203125" bestFit="1" customWidth="1"/>
  </cols>
  <sheetData>
    <row r="1" spans="1:6" x14ac:dyDescent="0.2">
      <c r="A1" s="2" t="s">
        <v>109</v>
      </c>
      <c r="B1" s="1" t="s">
        <v>110</v>
      </c>
      <c r="C1" t="s">
        <v>54</v>
      </c>
      <c r="D1" s="3" t="s">
        <v>10</v>
      </c>
      <c r="E1" t="s">
        <v>13</v>
      </c>
      <c r="F1" s="4" t="s">
        <v>111</v>
      </c>
    </row>
    <row r="2" spans="1:6" x14ac:dyDescent="0.2">
      <c r="A2" s="2" t="s">
        <v>113</v>
      </c>
      <c r="B2" s="1" t="s">
        <v>114</v>
      </c>
      <c r="C2" t="s">
        <v>152</v>
      </c>
      <c r="D2" s="3">
        <v>0</v>
      </c>
      <c r="E2" t="s">
        <v>153</v>
      </c>
      <c r="F2" s="4">
        <v>0.25</v>
      </c>
    </row>
    <row r="3" spans="1:6" x14ac:dyDescent="0.2">
      <c r="A3" s="2" t="s">
        <v>116</v>
      </c>
      <c r="B3" s="1" t="s">
        <v>117</v>
      </c>
      <c r="C3" t="s">
        <v>154</v>
      </c>
      <c r="D3" s="3">
        <v>1E-4</v>
      </c>
      <c r="E3" t="s">
        <v>155</v>
      </c>
      <c r="F3" s="4">
        <v>0.45</v>
      </c>
    </row>
    <row r="4" spans="1:6" x14ac:dyDescent="0.2">
      <c r="A4" s="2"/>
      <c r="B4" s="1" t="s">
        <v>120</v>
      </c>
      <c r="D4" s="3">
        <v>0.01</v>
      </c>
      <c r="E4" t="s">
        <v>156</v>
      </c>
      <c r="F4" s="4">
        <v>0.5</v>
      </c>
    </row>
    <row r="5" spans="1:6" x14ac:dyDescent="0.2">
      <c r="A5" s="2"/>
      <c r="B5" s="1" t="s">
        <v>123</v>
      </c>
      <c r="D5" s="3">
        <v>1.4999999999999999E-2</v>
      </c>
      <c r="E5" t="s">
        <v>157</v>
      </c>
      <c r="F5" s="4">
        <v>0.55000000000000004</v>
      </c>
    </row>
    <row r="6" spans="1:6" x14ac:dyDescent="0.2">
      <c r="A6" s="2"/>
      <c r="D6" s="3">
        <v>1.7500000000000002E-2</v>
      </c>
      <c r="E6" t="s">
        <v>158</v>
      </c>
      <c r="F6" s="4">
        <v>0.6</v>
      </c>
    </row>
    <row r="7" spans="1:6" x14ac:dyDescent="0.2">
      <c r="A7" s="2"/>
      <c r="D7" s="3">
        <v>0.02</v>
      </c>
      <c r="E7" t="s">
        <v>159</v>
      </c>
      <c r="F7" s="4">
        <v>0.7</v>
      </c>
    </row>
    <row r="8" spans="1:6" x14ac:dyDescent="0.2">
      <c r="A8" s="2"/>
      <c r="D8" s="3">
        <v>2.2499999999999999E-2</v>
      </c>
      <c r="E8" t="s">
        <v>160</v>
      </c>
      <c r="F8" s="4">
        <v>0.8</v>
      </c>
    </row>
    <row r="9" spans="1:6" x14ac:dyDescent="0.2">
      <c r="A9" s="2"/>
      <c r="D9" s="4"/>
      <c r="E9" t="s">
        <v>161</v>
      </c>
      <c r="F9" s="4">
        <v>0.85</v>
      </c>
    </row>
    <row r="10" spans="1:6" x14ac:dyDescent="0.2">
      <c r="A10" s="2"/>
      <c r="D10" s="4"/>
      <c r="E10" t="s">
        <v>162</v>
      </c>
      <c r="F10" s="4">
        <v>1</v>
      </c>
    </row>
    <row r="11" spans="1:6" x14ac:dyDescent="0.2">
      <c r="A11" s="2"/>
      <c r="D11" s="4"/>
      <c r="E11" t="s">
        <v>163</v>
      </c>
      <c r="F11" s="4">
        <v>1.05</v>
      </c>
    </row>
    <row r="12" spans="1:6" x14ac:dyDescent="0.2">
      <c r="A12" s="2"/>
      <c r="D12" s="4"/>
      <c r="E12" t="s">
        <v>164</v>
      </c>
      <c r="F12" s="4">
        <v>1.1000000000000001</v>
      </c>
    </row>
    <row r="13" spans="1:6" x14ac:dyDescent="0.2">
      <c r="A13" s="2"/>
      <c r="D13" s="4"/>
      <c r="E13" t="s">
        <v>165</v>
      </c>
      <c r="F13" s="4">
        <v>1.1499999999999999</v>
      </c>
    </row>
    <row r="14" spans="1:6" x14ac:dyDescent="0.2">
      <c r="A14" s="2"/>
      <c r="D14" s="4"/>
      <c r="F14" s="4">
        <v>1.3</v>
      </c>
    </row>
    <row r="15" spans="1:6" x14ac:dyDescent="0.2">
      <c r="A15" s="2"/>
      <c r="D15" s="4"/>
      <c r="F15" s="4">
        <v>1.35</v>
      </c>
    </row>
    <row r="16" spans="1:6" x14ac:dyDescent="0.2">
      <c r="A16" s="2"/>
      <c r="D16" s="4"/>
      <c r="F16" s="4">
        <v>1.5</v>
      </c>
    </row>
    <row r="17" spans="1:6" x14ac:dyDescent="0.2">
      <c r="A17" s="2"/>
      <c r="D17" s="4"/>
      <c r="F17" s="4">
        <v>1.55</v>
      </c>
    </row>
  </sheetData>
  <dataValidations count="1">
    <dataValidation type="list" allowBlank="1" showInputMessage="1" showErrorMessage="1" sqref="A3" xr:uid="{00000000-0002-0000-0400-000000000000}">
      <formula1>$A$2:$A$3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754219C2BC0C4AA8F65660EFAD58DB" ma:contentTypeVersion="14" ma:contentTypeDescription="Create a new document." ma:contentTypeScope="" ma:versionID="964e6157ff6d80da936f83e247e6da79">
  <xsd:schema xmlns:xsd="http://www.w3.org/2001/XMLSchema" xmlns:xs="http://www.w3.org/2001/XMLSchema" xmlns:p="http://schemas.microsoft.com/office/2006/metadata/properties" xmlns:ns2="5862ba85-137b-4a6e-97c0-07c4bb99b2ec" targetNamespace="http://schemas.microsoft.com/office/2006/metadata/properties" ma:root="true" ma:fieldsID="05fc91517b2465d7c5ec6667e0a6e1e3" ns2:_="">
    <xsd:import namespace="5862ba85-137b-4a6e-97c0-07c4bb99b2ec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Version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62ba85-137b-4a6e-97c0-07c4bb99b2ec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Version" ma:index="10" nillable="true" ma:displayName="MigrationWizIdVersion" ma:internalName="MigrationWizIdVersion">
      <xsd:simpleType>
        <xsd:restriction base="dms:Text"/>
      </xsd:simpleType>
    </xsd:element>
    <xsd:element name="MigrationWizIdPermissionLevels" ma:index="11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2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3" nillable="true" ma:displayName="MigrationWizIdSecurityGroups" ma:internalName="MigrationWizIdSecurityGroups">
      <xsd:simpleType>
        <xsd:restriction base="dms:Text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4CC41B6-F060-4040-88E0-AFF7BC26A2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74648A-7BAB-4A77-BB93-0CEDFFCEC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62ba85-137b-4a6e-97c0-07c4bb99b2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141E67-D6DB-40CC-B3AD-C30BE154FF6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Rate and Term Refinance</vt:lpstr>
      <vt:lpstr>Simple Refinance</vt:lpstr>
      <vt:lpstr>Streamline Refinance</vt:lpstr>
      <vt:lpstr>Cash-Out</vt:lpstr>
      <vt:lpstr>Drop downs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Dabkowski</dc:creator>
  <cp:keywords/>
  <dc:description/>
  <cp:lastModifiedBy>Katie Mower</cp:lastModifiedBy>
  <cp:revision/>
  <dcterms:created xsi:type="dcterms:W3CDTF">2021-07-27T13:05:57Z</dcterms:created>
  <dcterms:modified xsi:type="dcterms:W3CDTF">2024-03-28T17:45:09Z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3300.00000000000</vt:lpwstr>
  </property>
  <property fmtid="{D5CDD505-2E9C-101B-9397-08002B2CF9AE}" pid="3" name="MigrationWizId">
    <vt:lpwstr>2ee2d169-b8ae-474d-a8bb-f2ddeda61b47</vt:lpwstr>
  </property>
</Properties>
</file>