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firstcolonymortgage-my.sharepoint.com/personal/mike_dabkowski_fcmtpo_com/Documents/Desktop/Worksheets/"/>
    </mc:Choice>
  </mc:AlternateContent>
  <xr:revisionPtr revIDLastSave="77" documentId="8_{921E444B-920E-42D0-804C-A7DF8C467B20}" xr6:coauthVersionLast="47" xr6:coauthVersionMax="47" xr10:uidLastSave="{8412C25C-FB66-4150-921C-0C15304B4822}"/>
  <workbookProtection workbookPassword="E8F5" lockStructure="1"/>
  <bookViews>
    <workbookView xWindow="-120" yWindow="-120" windowWidth="29040" windowHeight="15720" tabRatio="932" xr2:uid="{00000000-000D-0000-FFFF-FFFF00000000}"/>
  </bookViews>
  <sheets>
    <sheet name="Purchase &amp; Refi" sheetId="1" r:id="rId1"/>
    <sheet name="VA IRRRL" sheetId="6" r:id="rId2"/>
    <sheet name="Calculator Job Aid" sheetId="2" r:id="rId3"/>
    <sheet name="Funding Fees &amp; County LImits" sheetId="5" state="hidden" r:id="rId4"/>
  </sheets>
  <definedNames>
    <definedName name="_xlnm.Print_Area" localSheetId="0">'Purchase &amp; Refi'!$A$1:$I$37</definedName>
    <definedName name="_xlnm.Print_Area" localSheetId="1">'VA IRRRL'!$A$1:$H$28,'VA IRRRL'!$K$2:$AF$59</definedName>
    <definedName name="ValidVAfundingFe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U17" i="6"/>
  <c r="AB8" i="6"/>
  <c r="E11" i="1"/>
  <c r="N11" i="1"/>
  <c r="I12" i="1" s="1"/>
  <c r="J17" i="1" s="1"/>
  <c r="B12" i="1"/>
  <c r="CW4" i="5"/>
  <c r="CW5" i="5"/>
  <c r="CW6" i="5"/>
  <c r="CW7" i="5"/>
  <c r="CW8" i="5"/>
  <c r="CW9" i="5"/>
  <c r="CW10" i="5"/>
  <c r="CW11" i="5"/>
  <c r="CW12" i="5"/>
  <c r="CW13" i="5"/>
  <c r="CW14" i="5"/>
  <c r="CW15" i="5"/>
  <c r="CW16" i="5"/>
  <c r="CW17" i="5"/>
  <c r="CW18" i="5"/>
  <c r="CW19" i="5"/>
  <c r="CW20" i="5"/>
  <c r="CW21" i="5"/>
  <c r="CW22" i="5"/>
  <c r="CW23" i="5"/>
  <c r="CW24" i="5"/>
  <c r="CW25" i="5"/>
  <c r="CW26" i="5"/>
  <c r="CW27" i="5"/>
  <c r="CW28" i="5"/>
  <c r="CW29" i="5"/>
  <c r="CW30" i="5"/>
  <c r="CW31" i="5"/>
  <c r="CW32" i="5"/>
  <c r="CW33" i="5"/>
  <c r="CW34" i="5"/>
  <c r="CW35" i="5"/>
  <c r="CW36" i="5"/>
  <c r="CW37" i="5"/>
  <c r="CW38" i="5"/>
  <c r="CW39" i="5"/>
  <c r="CW40" i="5"/>
  <c r="CW41" i="5"/>
  <c r="CW42" i="5"/>
  <c r="CW43" i="5"/>
  <c r="CW44" i="5"/>
  <c r="CW45" i="5"/>
  <c r="CW46" i="5"/>
  <c r="CW47" i="5"/>
  <c r="CW48" i="5"/>
  <c r="CW49" i="5"/>
  <c r="CW50" i="5"/>
  <c r="CW51" i="5"/>
  <c r="CW52" i="5"/>
  <c r="CW53" i="5"/>
  <c r="CW54" i="5"/>
  <c r="CW55" i="5"/>
  <c r="CW56" i="5"/>
  <c r="CW57" i="5"/>
  <c r="CW58" i="5"/>
  <c r="CW59" i="5"/>
  <c r="CW60" i="5"/>
  <c r="CW61" i="5"/>
  <c r="CW62" i="5"/>
  <c r="CW63" i="5"/>
  <c r="CW64" i="5"/>
  <c r="CW65" i="5"/>
  <c r="CW66" i="5"/>
  <c r="CW67" i="5"/>
  <c r="CW68" i="5"/>
  <c r="CW69" i="5"/>
  <c r="CW70" i="5"/>
  <c r="CW71" i="5"/>
  <c r="CW72" i="5"/>
  <c r="CW73" i="5"/>
  <c r="CW74" i="5"/>
  <c r="CW75" i="5"/>
  <c r="CW76" i="5"/>
  <c r="CW77" i="5"/>
  <c r="CW78" i="5"/>
  <c r="CW79" i="5"/>
  <c r="CW80" i="5"/>
  <c r="CW81" i="5"/>
  <c r="CW82" i="5"/>
  <c r="CW83" i="5"/>
  <c r="CW84" i="5"/>
  <c r="CW85" i="5"/>
  <c r="CW86" i="5"/>
  <c r="CW87" i="5"/>
  <c r="CW88" i="5"/>
  <c r="CW89" i="5"/>
  <c r="CW90" i="5"/>
  <c r="CW91" i="5"/>
  <c r="CW92" i="5"/>
  <c r="CW93" i="5"/>
  <c r="CW94" i="5"/>
  <c r="CW95" i="5"/>
  <c r="CW96" i="5"/>
  <c r="CW97" i="5"/>
  <c r="CW98" i="5"/>
  <c r="CW99" i="5"/>
  <c r="CW100" i="5"/>
  <c r="CW101" i="5"/>
  <c r="CW102" i="5"/>
  <c r="CW103" i="5"/>
  <c r="CW104" i="5"/>
  <c r="CW105" i="5"/>
  <c r="CW106" i="5"/>
  <c r="CW107" i="5"/>
  <c r="CW108" i="5"/>
  <c r="CW109" i="5"/>
  <c r="CW110" i="5"/>
  <c r="CW111" i="5"/>
  <c r="CW112" i="5"/>
  <c r="CW113" i="5"/>
  <c r="CW114" i="5"/>
  <c r="CW115" i="5"/>
  <c r="CW116" i="5"/>
  <c r="CW117" i="5"/>
  <c r="CW118" i="5"/>
  <c r="CW119" i="5"/>
  <c r="CW120" i="5"/>
  <c r="CW121" i="5"/>
  <c r="CW122" i="5"/>
  <c r="CW123" i="5"/>
  <c r="CW124" i="5"/>
  <c r="CW125" i="5"/>
  <c r="CW126" i="5"/>
  <c r="CW127" i="5"/>
  <c r="CW128" i="5"/>
  <c r="CW129" i="5"/>
  <c r="CW130" i="5"/>
  <c r="CW131" i="5"/>
  <c r="CW132" i="5"/>
  <c r="CW133" i="5"/>
  <c r="CW134" i="5"/>
  <c r="CW135" i="5"/>
  <c r="CW136" i="5"/>
  <c r="CW137" i="5"/>
  <c r="CW138" i="5"/>
  <c r="CW139" i="5"/>
  <c r="CW140" i="5"/>
  <c r="CW141" i="5"/>
  <c r="CW142" i="5"/>
  <c r="CW143" i="5"/>
  <c r="CW144" i="5"/>
  <c r="CW145" i="5"/>
  <c r="CW146" i="5"/>
  <c r="CW147" i="5"/>
  <c r="CW148" i="5"/>
  <c r="CW149" i="5"/>
  <c r="CW150" i="5"/>
  <c r="CW151" i="5"/>
  <c r="CW152" i="5"/>
  <c r="CW153" i="5"/>
  <c r="CW154" i="5"/>
  <c r="CW155" i="5"/>
  <c r="CW156" i="5"/>
  <c r="CW157" i="5"/>
  <c r="CW158" i="5"/>
  <c r="CW159" i="5"/>
  <c r="CW160" i="5"/>
  <c r="CW161" i="5"/>
  <c r="CV4" i="5"/>
  <c r="CV5" i="5"/>
  <c r="CV6" i="5"/>
  <c r="CV7" i="5"/>
  <c r="CV8" i="5"/>
  <c r="CV9" i="5"/>
  <c r="CV10" i="5"/>
  <c r="CV11" i="5"/>
  <c r="CV12" i="5"/>
  <c r="CV13" i="5"/>
  <c r="CV14" i="5"/>
  <c r="CV15" i="5"/>
  <c r="CV16" i="5"/>
  <c r="CV17" i="5"/>
  <c r="CV18" i="5"/>
  <c r="CV19" i="5"/>
  <c r="CV20" i="5"/>
  <c r="CV21" i="5"/>
  <c r="CV22" i="5"/>
  <c r="CV23" i="5"/>
  <c r="CV24" i="5"/>
  <c r="CV25" i="5"/>
  <c r="CV26" i="5"/>
  <c r="CV27" i="5"/>
  <c r="CV28" i="5"/>
  <c r="CV29" i="5"/>
  <c r="CV30" i="5"/>
  <c r="CV31" i="5"/>
  <c r="CV32" i="5"/>
  <c r="CV33" i="5"/>
  <c r="CV34" i="5"/>
  <c r="CV35" i="5"/>
  <c r="CV36" i="5"/>
  <c r="CV37" i="5"/>
  <c r="CV38" i="5"/>
  <c r="CV39" i="5"/>
  <c r="CV40" i="5"/>
  <c r="CV41" i="5"/>
  <c r="CV42" i="5"/>
  <c r="CV43" i="5"/>
  <c r="CV44" i="5"/>
  <c r="CV45" i="5"/>
  <c r="CV46" i="5"/>
  <c r="CV47" i="5"/>
  <c r="CV48" i="5"/>
  <c r="CV49" i="5"/>
  <c r="CV50" i="5"/>
  <c r="CV51" i="5"/>
  <c r="CV52" i="5"/>
  <c r="CV53" i="5"/>
  <c r="CV54" i="5"/>
  <c r="CV55" i="5"/>
  <c r="CV56" i="5"/>
  <c r="CV57" i="5"/>
  <c r="CV58" i="5"/>
  <c r="CV59" i="5"/>
  <c r="CV60" i="5"/>
  <c r="CV61" i="5"/>
  <c r="CV62" i="5"/>
  <c r="CV63" i="5"/>
  <c r="CV64" i="5"/>
  <c r="CV65" i="5"/>
  <c r="CV66" i="5"/>
  <c r="CV67" i="5"/>
  <c r="CV68" i="5"/>
  <c r="CV69" i="5"/>
  <c r="CV70" i="5"/>
  <c r="CV71" i="5"/>
  <c r="CV72" i="5"/>
  <c r="CV73" i="5"/>
  <c r="CV74" i="5"/>
  <c r="CV75" i="5"/>
  <c r="CV76" i="5"/>
  <c r="CV77" i="5"/>
  <c r="CV78" i="5"/>
  <c r="CV79" i="5"/>
  <c r="CV80" i="5"/>
  <c r="CV81" i="5"/>
  <c r="CV82" i="5"/>
  <c r="CV83" i="5"/>
  <c r="CV84" i="5"/>
  <c r="CV85" i="5"/>
  <c r="CV86" i="5"/>
  <c r="CV87" i="5"/>
  <c r="CV88" i="5"/>
  <c r="CV89" i="5"/>
  <c r="CV90" i="5"/>
  <c r="CV91" i="5"/>
  <c r="CV92" i="5"/>
  <c r="CV93" i="5"/>
  <c r="CV94" i="5"/>
  <c r="CV95" i="5"/>
  <c r="CV96" i="5"/>
  <c r="CV97" i="5"/>
  <c r="CV98" i="5"/>
  <c r="CV99" i="5"/>
  <c r="CV100" i="5"/>
  <c r="CV101" i="5"/>
  <c r="CV102" i="5"/>
  <c r="CV103" i="5"/>
  <c r="CV104" i="5"/>
  <c r="CV105" i="5"/>
  <c r="CV106" i="5"/>
  <c r="CV107" i="5"/>
  <c r="CV108" i="5"/>
  <c r="CV109" i="5"/>
  <c r="CV110" i="5"/>
  <c r="CV111" i="5"/>
  <c r="CV112" i="5"/>
  <c r="CV113" i="5"/>
  <c r="CV114" i="5"/>
  <c r="CV115" i="5"/>
  <c r="CV116" i="5"/>
  <c r="CV117" i="5"/>
  <c r="CV118" i="5"/>
  <c r="CV119" i="5"/>
  <c r="CV120" i="5"/>
  <c r="CV121" i="5"/>
  <c r="CV122" i="5"/>
  <c r="CV123" i="5"/>
  <c r="CV124" i="5"/>
  <c r="CV125" i="5"/>
  <c r="CV126" i="5"/>
  <c r="CV127" i="5"/>
  <c r="CV128" i="5"/>
  <c r="CV129" i="5"/>
  <c r="CV130" i="5"/>
  <c r="CV131" i="5"/>
  <c r="CV132" i="5"/>
  <c r="CV133" i="5"/>
  <c r="CV134" i="5"/>
  <c r="CV135" i="5"/>
  <c r="CV136" i="5"/>
  <c r="CV137" i="5"/>
  <c r="CV138" i="5"/>
  <c r="CV139" i="5"/>
  <c r="CV140" i="5"/>
  <c r="CV141" i="5"/>
  <c r="CV142" i="5"/>
  <c r="CV143" i="5"/>
  <c r="CV144" i="5"/>
  <c r="CV145" i="5"/>
  <c r="CV146" i="5"/>
  <c r="CV147" i="5"/>
  <c r="CV148" i="5"/>
  <c r="CV149" i="5"/>
  <c r="CV150" i="5"/>
  <c r="CV151" i="5"/>
  <c r="CV152" i="5"/>
  <c r="CV153" i="5"/>
  <c r="CV154" i="5"/>
  <c r="CV155" i="5"/>
  <c r="CV156" i="5"/>
  <c r="CV157" i="5"/>
  <c r="CV158" i="5"/>
  <c r="CV159" i="5"/>
  <c r="CV160" i="5"/>
  <c r="CV161" i="5"/>
  <c r="CW3" i="5"/>
  <c r="CV3" i="5"/>
  <c r="CM3" i="5"/>
  <c r="CV2" i="5"/>
  <c r="CM70" i="5"/>
  <c r="K3" i="5"/>
  <c r="T3" i="5"/>
  <c r="AA3" i="5"/>
  <c r="AH3" i="5"/>
  <c r="AM3" i="5"/>
  <c r="AR3" i="5"/>
  <c r="AW3" i="5"/>
  <c r="BB3" i="5"/>
  <c r="BG3" i="5"/>
  <c r="BM3" i="5"/>
  <c r="BS3" i="5"/>
  <c r="CF3" i="5"/>
  <c r="K4" i="5"/>
  <c r="T4" i="5"/>
  <c r="AA4" i="5"/>
  <c r="AH4" i="5"/>
  <c r="AM4" i="5"/>
  <c r="AR4" i="5"/>
  <c r="AW4" i="5"/>
  <c r="BB4" i="5"/>
  <c r="BG4" i="5"/>
  <c r="BM4" i="5"/>
  <c r="BS4" i="5"/>
  <c r="BY4" i="5"/>
  <c r="CF4" i="5"/>
  <c r="K5" i="5"/>
  <c r="T5" i="5"/>
  <c r="AA5" i="5"/>
  <c r="AH5" i="5"/>
  <c r="AM5" i="5"/>
  <c r="AR5" i="5"/>
  <c r="AW5" i="5"/>
  <c r="BB5" i="5"/>
  <c r="BG5" i="5"/>
  <c r="BM5" i="5"/>
  <c r="BS5" i="5"/>
  <c r="BY5" i="5"/>
  <c r="CF5" i="5"/>
  <c r="K6" i="5"/>
  <c r="T6" i="5"/>
  <c r="AA6" i="5"/>
  <c r="AH6" i="5"/>
  <c r="AM6" i="5"/>
  <c r="AR6" i="5"/>
  <c r="AW6" i="5"/>
  <c r="BB6" i="5"/>
  <c r="BG6" i="5"/>
  <c r="BM6" i="5"/>
  <c r="BS6" i="5"/>
  <c r="BY6" i="5"/>
  <c r="CF6" i="5"/>
  <c r="K7" i="5"/>
  <c r="T7" i="5"/>
  <c r="AA7" i="5"/>
  <c r="AH7" i="5"/>
  <c r="AM7" i="5"/>
  <c r="AR7" i="5"/>
  <c r="AW7" i="5"/>
  <c r="BB7" i="5"/>
  <c r="BG7" i="5"/>
  <c r="BM7" i="5"/>
  <c r="BS7" i="5"/>
  <c r="BY7" i="5"/>
  <c r="CF7" i="5"/>
  <c r="K8" i="5"/>
  <c r="T8" i="5"/>
  <c r="AA8" i="5"/>
  <c r="AH8" i="5"/>
  <c r="AM8" i="5"/>
  <c r="AR8" i="5"/>
  <c r="AW8" i="5"/>
  <c r="BB8" i="5"/>
  <c r="BG8" i="5"/>
  <c r="BM8" i="5"/>
  <c r="BS8" i="5"/>
  <c r="BY8" i="5"/>
  <c r="CF8" i="5"/>
  <c r="K9" i="5"/>
  <c r="T9" i="5"/>
  <c r="AA9" i="5"/>
  <c r="AH9" i="5"/>
  <c r="AM9" i="5"/>
  <c r="AR9" i="5"/>
  <c r="AW9" i="5"/>
  <c r="BB9" i="5"/>
  <c r="BG9" i="5"/>
  <c r="BM9" i="5"/>
  <c r="BS9" i="5"/>
  <c r="BY9" i="5"/>
  <c r="CF9" i="5"/>
  <c r="K10" i="5"/>
  <c r="T10" i="5"/>
  <c r="AA10" i="5"/>
  <c r="AH10" i="5"/>
  <c r="AM10" i="5"/>
  <c r="AR10" i="5"/>
  <c r="AW10" i="5"/>
  <c r="BB10" i="5"/>
  <c r="BG10" i="5"/>
  <c r="BM10" i="5"/>
  <c r="BS10" i="5"/>
  <c r="BY10" i="5"/>
  <c r="CF10" i="5"/>
  <c r="K11" i="5"/>
  <c r="T11" i="5"/>
  <c r="AA11" i="5"/>
  <c r="AH11" i="5"/>
  <c r="AM11" i="5"/>
  <c r="AR11" i="5"/>
  <c r="AW11" i="5"/>
  <c r="BB11" i="5"/>
  <c r="BG11" i="5"/>
  <c r="BM11" i="5"/>
  <c r="BS11" i="5"/>
  <c r="BY11" i="5"/>
  <c r="CF11" i="5"/>
  <c r="K12" i="5"/>
  <c r="T12" i="5"/>
  <c r="AA12" i="5"/>
  <c r="AH12" i="5"/>
  <c r="AM12" i="5"/>
  <c r="AR12" i="5"/>
  <c r="AW12" i="5"/>
  <c r="BB12" i="5"/>
  <c r="BG12" i="5"/>
  <c r="BM12" i="5"/>
  <c r="BS12" i="5"/>
  <c r="BY12" i="5"/>
  <c r="CF12" i="5"/>
  <c r="K13" i="5"/>
  <c r="T13" i="5"/>
  <c r="AA13" i="5"/>
  <c r="AH13" i="5"/>
  <c r="AM13" i="5"/>
  <c r="AR13" i="5"/>
  <c r="AW13" i="5"/>
  <c r="BB13" i="5"/>
  <c r="BG13" i="5"/>
  <c r="BM13" i="5"/>
  <c r="BS13" i="5"/>
  <c r="BY13" i="5"/>
  <c r="CF13" i="5"/>
  <c r="K14" i="5"/>
  <c r="T14" i="5"/>
  <c r="AA14" i="5"/>
  <c r="AH14" i="5"/>
  <c r="AM14" i="5"/>
  <c r="AR14" i="5"/>
  <c r="AW14" i="5"/>
  <c r="BB14" i="5"/>
  <c r="BG14" i="5"/>
  <c r="BM14" i="5"/>
  <c r="BS14" i="5"/>
  <c r="BY14" i="5"/>
  <c r="CF14" i="5"/>
  <c r="K15" i="5"/>
  <c r="T15" i="5"/>
  <c r="AA15" i="5"/>
  <c r="AH15" i="5"/>
  <c r="AM15" i="5"/>
  <c r="AR15" i="5"/>
  <c r="AW15" i="5"/>
  <c r="BB15" i="5"/>
  <c r="BG15" i="5"/>
  <c r="BM15" i="5"/>
  <c r="BS15" i="5"/>
  <c r="BY15" i="5"/>
  <c r="CF15" i="5"/>
  <c r="K16" i="5"/>
  <c r="T16" i="5"/>
  <c r="AA16" i="5"/>
  <c r="AH16" i="5"/>
  <c r="AM16" i="5"/>
  <c r="AR16" i="5"/>
  <c r="AW16" i="5"/>
  <c r="BB16" i="5"/>
  <c r="BG16" i="5"/>
  <c r="BM16" i="5"/>
  <c r="BS16" i="5"/>
  <c r="BY16" i="5"/>
  <c r="CF16" i="5"/>
  <c r="K17" i="5"/>
  <c r="T17" i="5"/>
  <c r="AA17" i="5"/>
  <c r="AH17" i="5"/>
  <c r="AM17" i="5"/>
  <c r="AR17" i="5"/>
  <c r="AW17" i="5"/>
  <c r="BB17" i="5"/>
  <c r="BG17" i="5"/>
  <c r="BM17" i="5"/>
  <c r="BS17" i="5"/>
  <c r="BY17" i="5"/>
  <c r="CF17" i="5"/>
  <c r="K18" i="5"/>
  <c r="T18" i="5"/>
  <c r="AA18" i="5"/>
  <c r="AH18" i="5"/>
  <c r="AM18" i="5"/>
  <c r="AR18" i="5"/>
  <c r="AW18" i="5"/>
  <c r="BB18" i="5"/>
  <c r="BG18" i="5"/>
  <c r="BM18" i="5"/>
  <c r="BS18" i="5"/>
  <c r="BY18" i="5"/>
  <c r="CF18" i="5"/>
  <c r="K19" i="5"/>
  <c r="T19" i="5"/>
  <c r="AA19" i="5"/>
  <c r="AH19" i="5"/>
  <c r="AM19" i="5"/>
  <c r="AR19" i="5"/>
  <c r="AW19" i="5"/>
  <c r="BB19" i="5"/>
  <c r="BG19" i="5"/>
  <c r="BM19" i="5"/>
  <c r="BS19" i="5"/>
  <c r="BY19" i="5"/>
  <c r="CF19" i="5"/>
  <c r="K20" i="5"/>
  <c r="T20" i="5"/>
  <c r="AA20" i="5"/>
  <c r="AH20" i="5"/>
  <c r="AM20" i="5"/>
  <c r="AR20" i="5"/>
  <c r="AW20" i="5"/>
  <c r="BB20" i="5"/>
  <c r="BG20" i="5"/>
  <c r="BM20" i="5"/>
  <c r="BS20" i="5"/>
  <c r="BY20" i="5"/>
  <c r="CF20" i="5"/>
  <c r="K21" i="5"/>
  <c r="T21" i="5"/>
  <c r="AA21" i="5"/>
  <c r="AH21" i="5"/>
  <c r="AM21" i="5"/>
  <c r="AR21" i="5"/>
  <c r="AW21" i="5"/>
  <c r="BB21" i="5"/>
  <c r="BG21" i="5"/>
  <c r="BM21" i="5"/>
  <c r="BS21" i="5"/>
  <c r="BY21" i="5"/>
  <c r="CF21" i="5"/>
  <c r="K22" i="5"/>
  <c r="T22" i="5"/>
  <c r="AA22" i="5"/>
  <c r="AH22" i="5"/>
  <c r="AM22" i="5"/>
  <c r="AR22" i="5"/>
  <c r="AW22" i="5"/>
  <c r="BB22" i="5"/>
  <c r="BG22" i="5"/>
  <c r="BM22" i="5"/>
  <c r="BS22" i="5"/>
  <c r="BY22" i="5"/>
  <c r="CF22" i="5"/>
  <c r="K23" i="5"/>
  <c r="T23" i="5"/>
  <c r="AA23" i="5"/>
  <c r="AH23" i="5"/>
  <c r="AM23" i="5"/>
  <c r="AR23" i="5"/>
  <c r="AW23" i="5"/>
  <c r="BB23" i="5"/>
  <c r="BG23" i="5"/>
  <c r="BM23" i="5"/>
  <c r="BS23" i="5"/>
  <c r="BY23" i="5"/>
  <c r="CF23" i="5"/>
  <c r="K24" i="5"/>
  <c r="T24" i="5"/>
  <c r="AA24" i="5"/>
  <c r="AH24" i="5"/>
  <c r="AM24" i="5"/>
  <c r="AR24" i="5"/>
  <c r="AW24" i="5"/>
  <c r="BB24" i="5"/>
  <c r="BG24" i="5"/>
  <c r="BM24" i="5"/>
  <c r="BS24" i="5"/>
  <c r="BY24" i="5"/>
  <c r="CF24" i="5"/>
  <c r="K25" i="5"/>
  <c r="T25" i="5"/>
  <c r="AA25" i="5"/>
  <c r="AH25" i="5"/>
  <c r="AM25" i="5"/>
  <c r="AR25" i="5"/>
  <c r="AW25" i="5"/>
  <c r="BB25" i="5"/>
  <c r="BG25" i="5"/>
  <c r="BM25" i="5"/>
  <c r="BS25" i="5"/>
  <c r="BY25" i="5"/>
  <c r="CF25" i="5"/>
  <c r="K26" i="5"/>
  <c r="T26" i="5"/>
  <c r="AA26" i="5"/>
  <c r="AH26" i="5"/>
  <c r="AM26" i="5"/>
  <c r="AR26" i="5"/>
  <c r="AW26" i="5"/>
  <c r="BB26" i="5"/>
  <c r="BG26" i="5"/>
  <c r="BM26" i="5"/>
  <c r="BS26" i="5"/>
  <c r="BY26" i="5"/>
  <c r="CF26" i="5"/>
  <c r="K27" i="5"/>
  <c r="T27" i="5"/>
  <c r="AA27" i="5"/>
  <c r="AH27" i="5"/>
  <c r="AM27" i="5"/>
  <c r="AR27" i="5"/>
  <c r="AW27" i="5"/>
  <c r="BB27" i="5"/>
  <c r="BG27" i="5"/>
  <c r="BM27" i="5"/>
  <c r="BS27" i="5"/>
  <c r="BY27" i="5"/>
  <c r="CF27" i="5"/>
  <c r="K28" i="5"/>
  <c r="T28" i="5"/>
  <c r="AA28" i="5"/>
  <c r="AH28" i="5"/>
  <c r="AM28" i="5"/>
  <c r="AR28" i="5"/>
  <c r="AW28" i="5"/>
  <c r="BB28" i="5"/>
  <c r="BG28" i="5"/>
  <c r="BM28" i="5"/>
  <c r="BS28" i="5"/>
  <c r="BY28" i="5"/>
  <c r="CF28" i="5"/>
  <c r="K29" i="5"/>
  <c r="T29" i="5"/>
  <c r="AA29" i="5"/>
  <c r="AH29" i="5"/>
  <c r="AM29" i="5"/>
  <c r="AR29" i="5"/>
  <c r="AW29" i="5"/>
  <c r="BB29" i="5"/>
  <c r="BG29" i="5"/>
  <c r="BM29" i="5"/>
  <c r="BS29" i="5"/>
  <c r="BY29" i="5"/>
  <c r="CF29" i="5"/>
  <c r="K30" i="5"/>
  <c r="T30" i="5"/>
  <c r="AA30" i="5"/>
  <c r="AH30" i="5"/>
  <c r="AM30" i="5"/>
  <c r="AR30" i="5"/>
  <c r="AW30" i="5"/>
  <c r="BB30" i="5"/>
  <c r="BG30" i="5"/>
  <c r="BM30" i="5"/>
  <c r="BS30" i="5"/>
  <c r="BY30" i="5"/>
  <c r="CF30" i="5"/>
  <c r="K31" i="5"/>
  <c r="T31" i="5"/>
  <c r="AA31" i="5"/>
  <c r="AH31" i="5"/>
  <c r="AM31" i="5"/>
  <c r="AR31" i="5"/>
  <c r="AW31" i="5"/>
  <c r="BB31" i="5"/>
  <c r="BG31" i="5"/>
  <c r="BM31" i="5"/>
  <c r="BS31" i="5"/>
  <c r="BY31" i="5"/>
  <c r="CF31" i="5"/>
  <c r="K32" i="5"/>
  <c r="T32" i="5"/>
  <c r="AA32" i="5"/>
  <c r="AH32" i="5"/>
  <c r="AM32" i="5"/>
  <c r="AR32" i="5"/>
  <c r="AW32" i="5"/>
  <c r="BB32" i="5"/>
  <c r="BG32" i="5"/>
  <c r="BM32" i="5"/>
  <c r="BS32" i="5"/>
  <c r="BY32" i="5"/>
  <c r="CF32" i="5"/>
  <c r="K33" i="5"/>
  <c r="T33" i="5"/>
  <c r="AA33" i="5"/>
  <c r="AH33" i="5"/>
  <c r="AM33" i="5"/>
  <c r="AR33" i="5"/>
  <c r="AW33" i="5"/>
  <c r="BB33" i="5"/>
  <c r="BG33" i="5"/>
  <c r="BM33" i="5"/>
  <c r="BS33" i="5"/>
  <c r="BY33" i="5"/>
  <c r="CF33" i="5"/>
  <c r="K34" i="5"/>
  <c r="T34" i="5"/>
  <c r="AA34" i="5"/>
  <c r="AH34" i="5"/>
  <c r="AM34" i="5"/>
  <c r="AR34" i="5"/>
  <c r="AW34" i="5"/>
  <c r="BB34" i="5"/>
  <c r="BG34" i="5"/>
  <c r="BM34" i="5"/>
  <c r="BS34" i="5"/>
  <c r="BY34" i="5"/>
  <c r="CF34" i="5"/>
  <c r="K35" i="5"/>
  <c r="T35" i="5"/>
  <c r="AA35" i="5"/>
  <c r="AH35" i="5"/>
  <c r="AM35" i="5"/>
  <c r="AR35" i="5"/>
  <c r="AW35" i="5"/>
  <c r="BB35" i="5"/>
  <c r="BG35" i="5"/>
  <c r="BM35" i="5"/>
  <c r="BS35" i="5"/>
  <c r="BY35" i="5"/>
  <c r="CF35" i="5"/>
  <c r="K36" i="5"/>
  <c r="T36" i="5"/>
  <c r="AA36" i="5"/>
  <c r="AH36" i="5"/>
  <c r="AM36" i="5"/>
  <c r="AR36" i="5"/>
  <c r="AW36" i="5"/>
  <c r="BB36" i="5"/>
  <c r="BG36" i="5"/>
  <c r="BM36" i="5"/>
  <c r="BS36" i="5"/>
  <c r="BY36" i="5"/>
  <c r="CF36" i="5"/>
  <c r="K37" i="5"/>
  <c r="T37" i="5"/>
  <c r="AA37" i="5"/>
  <c r="AH37" i="5"/>
  <c r="AM37" i="5"/>
  <c r="AR37" i="5"/>
  <c r="AW37" i="5"/>
  <c r="BB37" i="5"/>
  <c r="BG37" i="5"/>
  <c r="BM37" i="5"/>
  <c r="BS37" i="5"/>
  <c r="BY37" i="5"/>
  <c r="CF37" i="5"/>
  <c r="K38" i="5"/>
  <c r="T38" i="5"/>
  <c r="AA38" i="5"/>
  <c r="AH38" i="5"/>
  <c r="AM38" i="5"/>
  <c r="AR38" i="5"/>
  <c r="AW38" i="5"/>
  <c r="BB38" i="5"/>
  <c r="BG38" i="5"/>
  <c r="BM38" i="5"/>
  <c r="BS38" i="5"/>
  <c r="BY38" i="5"/>
  <c r="CF38" i="5"/>
  <c r="K39" i="5"/>
  <c r="T39" i="5"/>
  <c r="AA39" i="5"/>
  <c r="AH39" i="5"/>
  <c r="AM39" i="5"/>
  <c r="AR39" i="5"/>
  <c r="AW39" i="5"/>
  <c r="BB39" i="5"/>
  <c r="BG39" i="5"/>
  <c r="BM39" i="5"/>
  <c r="BS39" i="5"/>
  <c r="BY39" i="5"/>
  <c r="CF39" i="5"/>
  <c r="K40" i="5"/>
  <c r="T40" i="5"/>
  <c r="AA40" i="5"/>
  <c r="AH40" i="5"/>
  <c r="AM40" i="5"/>
  <c r="AR40" i="5"/>
  <c r="AW40" i="5"/>
  <c r="BB40" i="5"/>
  <c r="BG40" i="5"/>
  <c r="BM40" i="5"/>
  <c r="BS40" i="5"/>
  <c r="BY40" i="5"/>
  <c r="CF40" i="5"/>
  <c r="K41" i="5"/>
  <c r="T41" i="5"/>
  <c r="AA41" i="5"/>
  <c r="AH41" i="5"/>
  <c r="AM41" i="5"/>
  <c r="AR41" i="5"/>
  <c r="AW41" i="5"/>
  <c r="BB41" i="5"/>
  <c r="BG41" i="5"/>
  <c r="BM41" i="5"/>
  <c r="BS41" i="5"/>
  <c r="BY41" i="5"/>
  <c r="CF41" i="5"/>
  <c r="K42" i="5"/>
  <c r="T42" i="5"/>
  <c r="AA42" i="5"/>
  <c r="AH42" i="5"/>
  <c r="AM42" i="5"/>
  <c r="AR42" i="5"/>
  <c r="AW42" i="5"/>
  <c r="BB42" i="5"/>
  <c r="BG42" i="5"/>
  <c r="BM42" i="5"/>
  <c r="BS42" i="5"/>
  <c r="BY42" i="5"/>
  <c r="CF42" i="5"/>
  <c r="K43" i="5"/>
  <c r="T43" i="5"/>
  <c r="AA43" i="5"/>
  <c r="AH43" i="5"/>
  <c r="AM43" i="5"/>
  <c r="AR43" i="5"/>
  <c r="AW43" i="5"/>
  <c r="BB43" i="5"/>
  <c r="BG43" i="5"/>
  <c r="BM43" i="5"/>
  <c r="BS43" i="5"/>
  <c r="BY43" i="5"/>
  <c r="CF43" i="5"/>
  <c r="K44" i="5"/>
  <c r="T44" i="5"/>
  <c r="AA44" i="5"/>
  <c r="AH44" i="5"/>
  <c r="AM44" i="5"/>
  <c r="AR44" i="5"/>
  <c r="AW44" i="5"/>
  <c r="BB44" i="5"/>
  <c r="BG44" i="5"/>
  <c r="BM44" i="5"/>
  <c r="BS44" i="5"/>
  <c r="BY44" i="5"/>
  <c r="CF44" i="5"/>
  <c r="K45" i="5"/>
  <c r="T45" i="5"/>
  <c r="AA45" i="5"/>
  <c r="AH45" i="5"/>
  <c r="AM45" i="5"/>
  <c r="AR45" i="5"/>
  <c r="AW45" i="5"/>
  <c r="BB45" i="5"/>
  <c r="BG45" i="5"/>
  <c r="BM45" i="5"/>
  <c r="BS45" i="5"/>
  <c r="BY45" i="5"/>
  <c r="CF45" i="5"/>
  <c r="K46" i="5"/>
  <c r="T46" i="5"/>
  <c r="AA46" i="5"/>
  <c r="AH46" i="5"/>
  <c r="AM46" i="5"/>
  <c r="AR46" i="5"/>
  <c r="AW46" i="5"/>
  <c r="BB46" i="5"/>
  <c r="BG46" i="5"/>
  <c r="BM46" i="5"/>
  <c r="BS46" i="5"/>
  <c r="BY46" i="5"/>
  <c r="CF46" i="5"/>
  <c r="K47" i="5"/>
  <c r="T47" i="5"/>
  <c r="AA47" i="5"/>
  <c r="AH47" i="5"/>
  <c r="AM47" i="5"/>
  <c r="AR47" i="5"/>
  <c r="AW47" i="5"/>
  <c r="BB47" i="5"/>
  <c r="BG47" i="5"/>
  <c r="BM47" i="5"/>
  <c r="BS47" i="5"/>
  <c r="BY47" i="5"/>
  <c r="CF47" i="5"/>
  <c r="K48" i="5"/>
  <c r="T48" i="5"/>
  <c r="AA48" i="5"/>
  <c r="AH48" i="5"/>
  <c r="AM48" i="5"/>
  <c r="AR48" i="5"/>
  <c r="AW48" i="5"/>
  <c r="BB48" i="5"/>
  <c r="BG48" i="5"/>
  <c r="BM48" i="5"/>
  <c r="BS48" i="5"/>
  <c r="BY48" i="5"/>
  <c r="CF48" i="5"/>
  <c r="K49" i="5"/>
  <c r="T49" i="5"/>
  <c r="AA49" i="5"/>
  <c r="AH49" i="5"/>
  <c r="AM49" i="5"/>
  <c r="AR49" i="5"/>
  <c r="AW49" i="5"/>
  <c r="BB49" i="5"/>
  <c r="BG49" i="5"/>
  <c r="BM49" i="5"/>
  <c r="BS49" i="5"/>
  <c r="BY49" i="5"/>
  <c r="CF49" i="5"/>
  <c r="K50" i="5"/>
  <c r="T50" i="5"/>
  <c r="AA50" i="5"/>
  <c r="AH50" i="5"/>
  <c r="AM50" i="5"/>
  <c r="AR50" i="5"/>
  <c r="AW50" i="5"/>
  <c r="BB50" i="5"/>
  <c r="BG50" i="5"/>
  <c r="BM50" i="5"/>
  <c r="BS50" i="5"/>
  <c r="BY50" i="5"/>
  <c r="CF50" i="5"/>
  <c r="K51" i="5"/>
  <c r="T51" i="5"/>
  <c r="AA51" i="5"/>
  <c r="AH51" i="5"/>
  <c r="AM51" i="5"/>
  <c r="AR51" i="5"/>
  <c r="AW51" i="5"/>
  <c r="BB51" i="5"/>
  <c r="BG51" i="5"/>
  <c r="BM51" i="5"/>
  <c r="BS51" i="5"/>
  <c r="BY51" i="5"/>
  <c r="CF51" i="5"/>
  <c r="K52" i="5"/>
  <c r="T52" i="5"/>
  <c r="AA52" i="5"/>
  <c r="AH52" i="5"/>
  <c r="AM52" i="5"/>
  <c r="AR52" i="5"/>
  <c r="AW52" i="5"/>
  <c r="BB52" i="5"/>
  <c r="BG52" i="5"/>
  <c r="BM52" i="5"/>
  <c r="BS52" i="5"/>
  <c r="BY52" i="5"/>
  <c r="CF52" i="5"/>
  <c r="K53" i="5"/>
  <c r="T53" i="5"/>
  <c r="AA53" i="5"/>
  <c r="AH53" i="5"/>
  <c r="AM53" i="5"/>
  <c r="AR53" i="5"/>
  <c r="AW53" i="5"/>
  <c r="BB53" i="5"/>
  <c r="BG53" i="5"/>
  <c r="BM53" i="5"/>
  <c r="BS53" i="5"/>
  <c r="BY53" i="5"/>
  <c r="CF53" i="5"/>
  <c r="K54" i="5"/>
  <c r="T54" i="5"/>
  <c r="AA54" i="5"/>
  <c r="AH54" i="5"/>
  <c r="AM54" i="5"/>
  <c r="AR54" i="5"/>
  <c r="AW54" i="5"/>
  <c r="BB54" i="5"/>
  <c r="BG54" i="5"/>
  <c r="BM54" i="5"/>
  <c r="BS54" i="5"/>
  <c r="BY54" i="5"/>
  <c r="CF54" i="5"/>
  <c r="K55" i="5"/>
  <c r="T55" i="5"/>
  <c r="AA55" i="5"/>
  <c r="AH55" i="5"/>
  <c r="AM55" i="5"/>
  <c r="AR55" i="5"/>
  <c r="AW55" i="5"/>
  <c r="BB55" i="5"/>
  <c r="BG55" i="5"/>
  <c r="BM55" i="5"/>
  <c r="BS55" i="5"/>
  <c r="BY55" i="5"/>
  <c r="CF55" i="5"/>
  <c r="K56" i="5"/>
  <c r="T56" i="5"/>
  <c r="AA56" i="5"/>
  <c r="AH56" i="5"/>
  <c r="AM56" i="5"/>
  <c r="AR56" i="5"/>
  <c r="AW56" i="5"/>
  <c r="BB56" i="5"/>
  <c r="BG56" i="5"/>
  <c r="BM56" i="5"/>
  <c r="BS56" i="5"/>
  <c r="BY56" i="5"/>
  <c r="CF56" i="5"/>
  <c r="K57" i="5"/>
  <c r="T57" i="5"/>
  <c r="AA57" i="5"/>
  <c r="AH57" i="5"/>
  <c r="AM57" i="5"/>
  <c r="AR57" i="5"/>
  <c r="AW57" i="5"/>
  <c r="BB57" i="5"/>
  <c r="BG57" i="5"/>
  <c r="BM57" i="5"/>
  <c r="BS57" i="5"/>
  <c r="BY57" i="5"/>
  <c r="CF57" i="5"/>
  <c r="K58" i="5"/>
  <c r="T58" i="5"/>
  <c r="AA58" i="5"/>
  <c r="AH58" i="5"/>
  <c r="AM58" i="5"/>
  <c r="AR58" i="5"/>
  <c r="AW58" i="5"/>
  <c r="BB58" i="5"/>
  <c r="BG58" i="5"/>
  <c r="BM58" i="5"/>
  <c r="BS58" i="5"/>
  <c r="BY58" i="5"/>
  <c r="CF58" i="5"/>
  <c r="K59" i="5"/>
  <c r="T59" i="5"/>
  <c r="AA59" i="5"/>
  <c r="AH59" i="5"/>
  <c r="AM59" i="5"/>
  <c r="AR59" i="5"/>
  <c r="AW59" i="5"/>
  <c r="BB59" i="5"/>
  <c r="BG59" i="5"/>
  <c r="BM59" i="5"/>
  <c r="BS59" i="5"/>
  <c r="BY59" i="5"/>
  <c r="CF59" i="5"/>
  <c r="K60" i="5"/>
  <c r="T60" i="5"/>
  <c r="AA60" i="5"/>
  <c r="AH60" i="5"/>
  <c r="AM60" i="5"/>
  <c r="AR60" i="5"/>
  <c r="AW60" i="5"/>
  <c r="BB60" i="5"/>
  <c r="BG60" i="5"/>
  <c r="BM60" i="5"/>
  <c r="BS60" i="5"/>
  <c r="BY60" i="5"/>
  <c r="CF60" i="5"/>
  <c r="K61" i="5"/>
  <c r="T61" i="5"/>
  <c r="AA61" i="5"/>
  <c r="AH61" i="5"/>
  <c r="AM61" i="5"/>
  <c r="AR61" i="5"/>
  <c r="AW61" i="5"/>
  <c r="BB61" i="5"/>
  <c r="BG61" i="5"/>
  <c r="BM61" i="5"/>
  <c r="BS61" i="5"/>
  <c r="BY61" i="5"/>
  <c r="CF61" i="5"/>
  <c r="K62" i="5"/>
  <c r="T62" i="5"/>
  <c r="AA62" i="5"/>
  <c r="AH62" i="5"/>
  <c r="AM62" i="5"/>
  <c r="AR62" i="5"/>
  <c r="AW62" i="5"/>
  <c r="BB62" i="5"/>
  <c r="BG62" i="5"/>
  <c r="BM62" i="5"/>
  <c r="BS62" i="5"/>
  <c r="BY62" i="5"/>
  <c r="CF62" i="5"/>
  <c r="K63" i="5"/>
  <c r="T63" i="5"/>
  <c r="AA63" i="5"/>
  <c r="AH63" i="5"/>
  <c r="AM63" i="5"/>
  <c r="AR63" i="5"/>
  <c r="AW63" i="5"/>
  <c r="BB63" i="5"/>
  <c r="BG63" i="5"/>
  <c r="BM63" i="5"/>
  <c r="BS63" i="5"/>
  <c r="BY63" i="5"/>
  <c r="CF63" i="5"/>
  <c r="K64" i="5"/>
  <c r="T64" i="5"/>
  <c r="AA64" i="5"/>
  <c r="AH64" i="5"/>
  <c r="AM64" i="5"/>
  <c r="AR64" i="5"/>
  <c r="AW64" i="5"/>
  <c r="BB64" i="5"/>
  <c r="BG64" i="5"/>
  <c r="BM64" i="5"/>
  <c r="BS64" i="5"/>
  <c r="BY64" i="5"/>
  <c r="CF64" i="5"/>
  <c r="K65" i="5"/>
  <c r="T65" i="5"/>
  <c r="AA65" i="5"/>
  <c r="AH65" i="5"/>
  <c r="AM65" i="5"/>
  <c r="AR65" i="5"/>
  <c r="AW65" i="5"/>
  <c r="BB65" i="5"/>
  <c r="BG65" i="5"/>
  <c r="BM65" i="5"/>
  <c r="BS65" i="5"/>
  <c r="BY65" i="5"/>
  <c r="CF65" i="5"/>
  <c r="K66" i="5"/>
  <c r="T66" i="5"/>
  <c r="AA66" i="5"/>
  <c r="AH66" i="5"/>
  <c r="AM66" i="5"/>
  <c r="AR66" i="5"/>
  <c r="AW66" i="5"/>
  <c r="BB66" i="5"/>
  <c r="BG66" i="5"/>
  <c r="BM66" i="5"/>
  <c r="BS66" i="5"/>
  <c r="BY66" i="5"/>
  <c r="CF66" i="5"/>
  <c r="K67" i="5"/>
  <c r="T67" i="5"/>
  <c r="AA67" i="5"/>
  <c r="AH67" i="5"/>
  <c r="AM67" i="5"/>
  <c r="AR67" i="5"/>
  <c r="AW67" i="5"/>
  <c r="BB67" i="5"/>
  <c r="BG67" i="5"/>
  <c r="BM67" i="5"/>
  <c r="BS67" i="5"/>
  <c r="BY67" i="5"/>
  <c r="CF67" i="5"/>
  <c r="K68" i="5"/>
  <c r="T68" i="5"/>
  <c r="AA68" i="5"/>
  <c r="AH68" i="5"/>
  <c r="AM68" i="5"/>
  <c r="AR68" i="5"/>
  <c r="AW68" i="5"/>
  <c r="BB68" i="5"/>
  <c r="BG68" i="5"/>
  <c r="BM68" i="5"/>
  <c r="BS68" i="5"/>
  <c r="BY68" i="5"/>
  <c r="CF68" i="5"/>
  <c r="K69" i="5"/>
  <c r="T69" i="5"/>
  <c r="AA69" i="5"/>
  <c r="AH69" i="5"/>
  <c r="AM69" i="5"/>
  <c r="AR69" i="5"/>
  <c r="AW69" i="5"/>
  <c r="BB69" i="5"/>
  <c r="BG69" i="5"/>
  <c r="BM69" i="5"/>
  <c r="BS69" i="5"/>
  <c r="BY69" i="5"/>
  <c r="CF69" i="5"/>
  <c r="K70" i="5"/>
  <c r="T70" i="5"/>
  <c r="AA70" i="5"/>
  <c r="AH70" i="5"/>
  <c r="AM70" i="5"/>
  <c r="AR70" i="5"/>
  <c r="AW70" i="5"/>
  <c r="BB70" i="5"/>
  <c r="BG70" i="5"/>
  <c r="BM70" i="5"/>
  <c r="BS70" i="5"/>
  <c r="BY70" i="5"/>
  <c r="CF70" i="5"/>
  <c r="K71" i="5"/>
  <c r="T71" i="5"/>
  <c r="AA71" i="5"/>
  <c r="AH71" i="5"/>
  <c r="AM71" i="5"/>
  <c r="AR71" i="5"/>
  <c r="AW71" i="5"/>
  <c r="BB71" i="5"/>
  <c r="BG71" i="5"/>
  <c r="BM71" i="5"/>
  <c r="BS71" i="5"/>
  <c r="BY71" i="5"/>
  <c r="CF71" i="5"/>
  <c r="K72" i="5"/>
  <c r="T72" i="5"/>
  <c r="AA72" i="5"/>
  <c r="AH72" i="5"/>
  <c r="AM72" i="5"/>
  <c r="AR72" i="5"/>
  <c r="AW72" i="5"/>
  <c r="BB72" i="5"/>
  <c r="BG72" i="5"/>
  <c r="BM72" i="5"/>
  <c r="BS72" i="5"/>
  <c r="BY72" i="5"/>
  <c r="CF72" i="5"/>
  <c r="K73" i="5"/>
  <c r="T73" i="5"/>
  <c r="AA73" i="5"/>
  <c r="AH73" i="5"/>
  <c r="AM73" i="5"/>
  <c r="AR73" i="5"/>
  <c r="AW73" i="5"/>
  <c r="BB73" i="5"/>
  <c r="BG73" i="5"/>
  <c r="BM73" i="5"/>
  <c r="BS73" i="5"/>
  <c r="BY73" i="5"/>
  <c r="CF73" i="5"/>
  <c r="K74" i="5"/>
  <c r="T74" i="5"/>
  <c r="AA74" i="5"/>
  <c r="AH74" i="5"/>
  <c r="AM74" i="5"/>
  <c r="AR74" i="5"/>
  <c r="AW74" i="5"/>
  <c r="BB74" i="5"/>
  <c r="BG74" i="5"/>
  <c r="BM74" i="5"/>
  <c r="BS74" i="5"/>
  <c r="BY74" i="5"/>
  <c r="CF74" i="5"/>
  <c r="K75" i="5"/>
  <c r="T75" i="5"/>
  <c r="AA75" i="5"/>
  <c r="AH75" i="5"/>
  <c r="AM75" i="5"/>
  <c r="AR75" i="5"/>
  <c r="AW75" i="5"/>
  <c r="BB75" i="5"/>
  <c r="BG75" i="5"/>
  <c r="BM75" i="5"/>
  <c r="BS75" i="5"/>
  <c r="BY75" i="5"/>
  <c r="CF75" i="5"/>
  <c r="K76" i="5"/>
  <c r="T76" i="5"/>
  <c r="AA76" i="5"/>
  <c r="AH76" i="5"/>
  <c r="AM76" i="5"/>
  <c r="AR76" i="5"/>
  <c r="AW76" i="5"/>
  <c r="BB76" i="5"/>
  <c r="BG76" i="5"/>
  <c r="BM76" i="5"/>
  <c r="BS76" i="5"/>
  <c r="BY76" i="5"/>
  <c r="CF76" i="5"/>
  <c r="K77" i="5"/>
  <c r="T77" i="5"/>
  <c r="AA77" i="5"/>
  <c r="AH77" i="5"/>
  <c r="AM77" i="5"/>
  <c r="AR77" i="5"/>
  <c r="AW77" i="5"/>
  <c r="BB77" i="5"/>
  <c r="BG77" i="5"/>
  <c r="BM77" i="5"/>
  <c r="BS77" i="5"/>
  <c r="BY77" i="5"/>
  <c r="CF77" i="5"/>
  <c r="K78" i="5"/>
  <c r="T78" i="5"/>
  <c r="AA78" i="5"/>
  <c r="AH78" i="5"/>
  <c r="AM78" i="5"/>
  <c r="AR78" i="5"/>
  <c r="AW78" i="5"/>
  <c r="BB78" i="5"/>
  <c r="BG78" i="5"/>
  <c r="BM78" i="5"/>
  <c r="BS78" i="5"/>
  <c r="BY78" i="5"/>
  <c r="CF78" i="5"/>
  <c r="K79" i="5"/>
  <c r="T79" i="5"/>
  <c r="AA79" i="5"/>
  <c r="AH79" i="5"/>
  <c r="AM79" i="5"/>
  <c r="AR79" i="5"/>
  <c r="AW79" i="5"/>
  <c r="BB79" i="5"/>
  <c r="BG79" i="5"/>
  <c r="BM79" i="5"/>
  <c r="BS79" i="5"/>
  <c r="BY79" i="5"/>
  <c r="CF79" i="5"/>
  <c r="K80" i="5"/>
  <c r="T80" i="5"/>
  <c r="AA80" i="5"/>
  <c r="AH80" i="5"/>
  <c r="AM80" i="5"/>
  <c r="AR80" i="5"/>
  <c r="AW80" i="5"/>
  <c r="BB80" i="5"/>
  <c r="BG80" i="5"/>
  <c r="BM80" i="5"/>
  <c r="BS80" i="5"/>
  <c r="BY80" i="5"/>
  <c r="CF80" i="5"/>
  <c r="K81" i="5"/>
  <c r="T81" i="5"/>
  <c r="AA81" i="5"/>
  <c r="AH81" i="5"/>
  <c r="AM81" i="5"/>
  <c r="AR81" i="5"/>
  <c r="AW81" i="5"/>
  <c r="BB81" i="5"/>
  <c r="BG81" i="5"/>
  <c r="BM81" i="5"/>
  <c r="BS81" i="5"/>
  <c r="BY81" i="5"/>
  <c r="CF81" i="5"/>
  <c r="K82" i="5"/>
  <c r="T82" i="5"/>
  <c r="AA82" i="5"/>
  <c r="AH82" i="5"/>
  <c r="AM82" i="5"/>
  <c r="AR82" i="5"/>
  <c r="AW82" i="5"/>
  <c r="BB82" i="5"/>
  <c r="BG82" i="5"/>
  <c r="BM82" i="5"/>
  <c r="BS82" i="5"/>
  <c r="BY82" i="5"/>
  <c r="CF82" i="5"/>
  <c r="K83" i="5"/>
  <c r="T83" i="5"/>
  <c r="AA83" i="5"/>
  <c r="AH83" i="5"/>
  <c r="AM83" i="5"/>
  <c r="AR83" i="5"/>
  <c r="AW83" i="5"/>
  <c r="BB83" i="5"/>
  <c r="BG83" i="5"/>
  <c r="BM83" i="5"/>
  <c r="BS83" i="5"/>
  <c r="BY83" i="5"/>
  <c r="CF83" i="5"/>
  <c r="K84" i="5"/>
  <c r="T84" i="5"/>
  <c r="AA84" i="5"/>
  <c r="AH84" i="5"/>
  <c r="AM84" i="5"/>
  <c r="AR84" i="5"/>
  <c r="AW84" i="5"/>
  <c r="BB84" i="5"/>
  <c r="BG84" i="5"/>
  <c r="BM84" i="5"/>
  <c r="BS84" i="5"/>
  <c r="BY84" i="5"/>
  <c r="CF84" i="5"/>
  <c r="K85" i="5"/>
  <c r="T85" i="5"/>
  <c r="AA85" i="5"/>
  <c r="AH85" i="5"/>
  <c r="AM85" i="5"/>
  <c r="AR85" i="5"/>
  <c r="AW85" i="5"/>
  <c r="BB85" i="5"/>
  <c r="BG85" i="5"/>
  <c r="BM85" i="5"/>
  <c r="BS85" i="5"/>
  <c r="BY85" i="5"/>
  <c r="CF85" i="5"/>
  <c r="K86" i="5"/>
  <c r="T86" i="5"/>
  <c r="AA86" i="5"/>
  <c r="AH86" i="5"/>
  <c r="AM86" i="5"/>
  <c r="AR86" i="5"/>
  <c r="AW86" i="5"/>
  <c r="BB86" i="5"/>
  <c r="BG86" i="5"/>
  <c r="BM86" i="5"/>
  <c r="BS86" i="5"/>
  <c r="BY86" i="5"/>
  <c r="CF86" i="5"/>
  <c r="K87" i="5"/>
  <c r="T87" i="5"/>
  <c r="AA87" i="5"/>
  <c r="AH87" i="5"/>
  <c r="AM87" i="5"/>
  <c r="AR87" i="5"/>
  <c r="AW87" i="5"/>
  <c r="BB87" i="5"/>
  <c r="BG87" i="5"/>
  <c r="BM87" i="5"/>
  <c r="BS87" i="5"/>
  <c r="BY87" i="5"/>
  <c r="CF87" i="5"/>
  <c r="K88" i="5"/>
  <c r="T88" i="5"/>
  <c r="AA88" i="5"/>
  <c r="AH88" i="5"/>
  <c r="AM88" i="5"/>
  <c r="AR88" i="5"/>
  <c r="AW88" i="5"/>
  <c r="BB88" i="5"/>
  <c r="BG88" i="5"/>
  <c r="BM88" i="5"/>
  <c r="BS88" i="5"/>
  <c r="BY88" i="5"/>
  <c r="CF88" i="5"/>
  <c r="K89" i="5"/>
  <c r="T89" i="5"/>
  <c r="AA89" i="5"/>
  <c r="AH89" i="5"/>
  <c r="AM89" i="5"/>
  <c r="AR89" i="5"/>
  <c r="AW89" i="5"/>
  <c r="BB89" i="5"/>
  <c r="BG89" i="5"/>
  <c r="BM89" i="5"/>
  <c r="BS89" i="5"/>
  <c r="BY89" i="5"/>
  <c r="CF89" i="5"/>
  <c r="K90" i="5"/>
  <c r="T90" i="5"/>
  <c r="AA90" i="5"/>
  <c r="AH90" i="5"/>
  <c r="AM90" i="5"/>
  <c r="AR90" i="5"/>
  <c r="AW90" i="5"/>
  <c r="BB90" i="5"/>
  <c r="BG90" i="5"/>
  <c r="BM90" i="5"/>
  <c r="BS90" i="5"/>
  <c r="BY90" i="5"/>
  <c r="CF90" i="5"/>
  <c r="K91" i="5"/>
  <c r="T91" i="5"/>
  <c r="AA91" i="5"/>
  <c r="AH91" i="5"/>
  <c r="AM91" i="5"/>
  <c r="AR91" i="5"/>
  <c r="AW91" i="5"/>
  <c r="BB91" i="5"/>
  <c r="BG91" i="5"/>
  <c r="BM91" i="5"/>
  <c r="BS91" i="5"/>
  <c r="BY91" i="5"/>
  <c r="CF91" i="5"/>
  <c r="K92" i="5"/>
  <c r="T92" i="5"/>
  <c r="AA92" i="5"/>
  <c r="AH92" i="5"/>
  <c r="AM92" i="5"/>
  <c r="AR92" i="5"/>
  <c r="AW92" i="5"/>
  <c r="BB92" i="5"/>
  <c r="BG92" i="5"/>
  <c r="BM92" i="5"/>
  <c r="BS92" i="5"/>
  <c r="BY92" i="5"/>
  <c r="CF92" i="5"/>
  <c r="K93" i="5"/>
  <c r="T93" i="5"/>
  <c r="AA93" i="5"/>
  <c r="AH93" i="5"/>
  <c r="AM93" i="5"/>
  <c r="AR93" i="5"/>
  <c r="AW93" i="5"/>
  <c r="BB93" i="5"/>
  <c r="BG93" i="5"/>
  <c r="BM93" i="5"/>
  <c r="BS93" i="5"/>
  <c r="BY93" i="5"/>
  <c r="CF93" i="5"/>
  <c r="K94" i="5"/>
  <c r="T94" i="5"/>
  <c r="AA94" i="5"/>
  <c r="AH94" i="5"/>
  <c r="AM94" i="5"/>
  <c r="AR94" i="5"/>
  <c r="AW94" i="5"/>
  <c r="BB94" i="5"/>
  <c r="BG94" i="5"/>
  <c r="BM94" i="5"/>
  <c r="BS94" i="5"/>
  <c r="BY94" i="5"/>
  <c r="CF94" i="5"/>
  <c r="K95" i="5"/>
  <c r="T95" i="5"/>
  <c r="AA95" i="5"/>
  <c r="AH95" i="5"/>
  <c r="AM95" i="5"/>
  <c r="AR95" i="5"/>
  <c r="AW95" i="5"/>
  <c r="BB95" i="5"/>
  <c r="BG95" i="5"/>
  <c r="BM95" i="5"/>
  <c r="BS95" i="5"/>
  <c r="BY95" i="5"/>
  <c r="CF95" i="5"/>
  <c r="K96" i="5"/>
  <c r="T96" i="5"/>
  <c r="AA96" i="5"/>
  <c r="AH96" i="5"/>
  <c r="AM96" i="5"/>
  <c r="AR96" i="5"/>
  <c r="AW96" i="5"/>
  <c r="BB96" i="5"/>
  <c r="BG96" i="5"/>
  <c r="BM96" i="5"/>
  <c r="BS96" i="5"/>
  <c r="BY96" i="5"/>
  <c r="CF96" i="5"/>
  <c r="K97" i="5"/>
  <c r="T97" i="5"/>
  <c r="AA97" i="5"/>
  <c r="AH97" i="5"/>
  <c r="AM97" i="5"/>
  <c r="AR97" i="5"/>
  <c r="AW97" i="5"/>
  <c r="BB97" i="5"/>
  <c r="BG97" i="5"/>
  <c r="BM97" i="5"/>
  <c r="BS97" i="5"/>
  <c r="BY97" i="5"/>
  <c r="CF97" i="5"/>
  <c r="K98" i="5"/>
  <c r="T98" i="5"/>
  <c r="AA98" i="5"/>
  <c r="AH98" i="5"/>
  <c r="AM98" i="5"/>
  <c r="AR98" i="5"/>
  <c r="AW98" i="5"/>
  <c r="BB98" i="5"/>
  <c r="BG98" i="5"/>
  <c r="BM98" i="5"/>
  <c r="BS98" i="5"/>
  <c r="BY98" i="5"/>
  <c r="CF98" i="5"/>
  <c r="K99" i="5"/>
  <c r="T99" i="5"/>
  <c r="AA99" i="5"/>
  <c r="AH99" i="5"/>
  <c r="AM99" i="5"/>
  <c r="AR99" i="5"/>
  <c r="AW99" i="5"/>
  <c r="BB99" i="5"/>
  <c r="BG99" i="5"/>
  <c r="BM99" i="5"/>
  <c r="BS99" i="5"/>
  <c r="BY99" i="5"/>
  <c r="CF99" i="5"/>
  <c r="K100" i="5"/>
  <c r="T100" i="5"/>
  <c r="AA100" i="5"/>
  <c r="AH100" i="5"/>
  <c r="AM100" i="5"/>
  <c r="AR100" i="5"/>
  <c r="AW100" i="5"/>
  <c r="BB100" i="5"/>
  <c r="BG100" i="5"/>
  <c r="BM100" i="5"/>
  <c r="BS100" i="5"/>
  <c r="BY100" i="5"/>
  <c r="CF100" i="5"/>
  <c r="K101" i="5"/>
  <c r="T101" i="5"/>
  <c r="AA101" i="5"/>
  <c r="AH101" i="5"/>
  <c r="AM101" i="5"/>
  <c r="AR101" i="5"/>
  <c r="AW101" i="5"/>
  <c r="BB101" i="5"/>
  <c r="BG101" i="5"/>
  <c r="BM101" i="5"/>
  <c r="BS101" i="5"/>
  <c r="BY101" i="5"/>
  <c r="CF101" i="5"/>
  <c r="K102" i="5"/>
  <c r="T102" i="5"/>
  <c r="AA102" i="5"/>
  <c r="AH102" i="5"/>
  <c r="AM102" i="5"/>
  <c r="AR102" i="5"/>
  <c r="AW102" i="5"/>
  <c r="BB102" i="5"/>
  <c r="BG102" i="5"/>
  <c r="BM102" i="5"/>
  <c r="BS102" i="5"/>
  <c r="BY102" i="5"/>
  <c r="CF102" i="5"/>
  <c r="K103" i="5"/>
  <c r="T103" i="5"/>
  <c r="AA103" i="5"/>
  <c r="AH103" i="5"/>
  <c r="AM103" i="5"/>
  <c r="AR103" i="5"/>
  <c r="AW103" i="5"/>
  <c r="BB103" i="5"/>
  <c r="BG103" i="5"/>
  <c r="BM103" i="5"/>
  <c r="BS103" i="5"/>
  <c r="BY103" i="5"/>
  <c r="CF103" i="5"/>
  <c r="K104" i="5"/>
  <c r="T104" i="5"/>
  <c r="AA104" i="5"/>
  <c r="AH104" i="5"/>
  <c r="AM104" i="5"/>
  <c r="AR104" i="5"/>
  <c r="AW104" i="5"/>
  <c r="BB104" i="5"/>
  <c r="BG104" i="5"/>
  <c r="BM104" i="5"/>
  <c r="BS104" i="5"/>
  <c r="BY104" i="5"/>
  <c r="CF104" i="5"/>
  <c r="K105" i="5"/>
  <c r="T105" i="5"/>
  <c r="AA105" i="5"/>
  <c r="AH105" i="5"/>
  <c r="AM105" i="5"/>
  <c r="AR105" i="5"/>
  <c r="AW105" i="5"/>
  <c r="BB105" i="5"/>
  <c r="BG105" i="5"/>
  <c r="BM105" i="5"/>
  <c r="BS105" i="5"/>
  <c r="BY105" i="5"/>
  <c r="CF105" i="5"/>
  <c r="K106" i="5"/>
  <c r="T106" i="5"/>
  <c r="AA106" i="5"/>
  <c r="AH106" i="5"/>
  <c r="AM106" i="5"/>
  <c r="AR106" i="5"/>
  <c r="AW106" i="5"/>
  <c r="BB106" i="5"/>
  <c r="BG106" i="5"/>
  <c r="BM106" i="5"/>
  <c r="BS106" i="5"/>
  <c r="BY106" i="5"/>
  <c r="CF106" i="5"/>
  <c r="K107" i="5"/>
  <c r="T107" i="5"/>
  <c r="AA107" i="5"/>
  <c r="AH107" i="5"/>
  <c r="AM107" i="5"/>
  <c r="AR107" i="5"/>
  <c r="AW107" i="5"/>
  <c r="BB107" i="5"/>
  <c r="BG107" i="5"/>
  <c r="BM107" i="5"/>
  <c r="BS107" i="5"/>
  <c r="BY107" i="5"/>
  <c r="CF107" i="5"/>
  <c r="K108" i="5"/>
  <c r="T108" i="5"/>
  <c r="AA108" i="5"/>
  <c r="AH108" i="5"/>
  <c r="AM108" i="5"/>
  <c r="AR108" i="5"/>
  <c r="AW108" i="5"/>
  <c r="BB108" i="5"/>
  <c r="BG108" i="5"/>
  <c r="BM108" i="5"/>
  <c r="BS108" i="5"/>
  <c r="BY108" i="5"/>
  <c r="CF108" i="5"/>
  <c r="K109" i="5"/>
  <c r="T109" i="5"/>
  <c r="AA109" i="5"/>
  <c r="AH109" i="5"/>
  <c r="AM109" i="5"/>
  <c r="AR109" i="5"/>
  <c r="AW109" i="5"/>
  <c r="BB109" i="5"/>
  <c r="BG109" i="5"/>
  <c r="BM109" i="5"/>
  <c r="BS109" i="5"/>
  <c r="BY109" i="5"/>
  <c r="CF109" i="5"/>
  <c r="K110" i="5"/>
  <c r="T110" i="5"/>
  <c r="AA110" i="5"/>
  <c r="AH110" i="5"/>
  <c r="AM110" i="5"/>
  <c r="AR110" i="5"/>
  <c r="AW110" i="5"/>
  <c r="BB110" i="5"/>
  <c r="BG110" i="5"/>
  <c r="BM110" i="5"/>
  <c r="BS110" i="5"/>
  <c r="BY110" i="5"/>
  <c r="CF110" i="5"/>
  <c r="K111" i="5"/>
  <c r="T111" i="5"/>
  <c r="AA111" i="5"/>
  <c r="AH111" i="5"/>
  <c r="AM111" i="5"/>
  <c r="AR111" i="5"/>
  <c r="AW111" i="5"/>
  <c r="BB111" i="5"/>
  <c r="BG111" i="5"/>
  <c r="BM111" i="5"/>
  <c r="BS111" i="5"/>
  <c r="BY111" i="5"/>
  <c r="CF111" i="5"/>
  <c r="K112" i="5"/>
  <c r="T112" i="5"/>
  <c r="AA112" i="5"/>
  <c r="AH112" i="5"/>
  <c r="AM112" i="5"/>
  <c r="AR112" i="5"/>
  <c r="AW112" i="5"/>
  <c r="BB112" i="5"/>
  <c r="BG112" i="5"/>
  <c r="BM112" i="5"/>
  <c r="BS112" i="5"/>
  <c r="BY112" i="5"/>
  <c r="CF112" i="5"/>
  <c r="K113" i="5"/>
  <c r="T113" i="5"/>
  <c r="AA113" i="5"/>
  <c r="AH113" i="5"/>
  <c r="AM113" i="5"/>
  <c r="AR113" i="5"/>
  <c r="AW113" i="5"/>
  <c r="BB113" i="5"/>
  <c r="BG113" i="5"/>
  <c r="BM113" i="5"/>
  <c r="BS113" i="5"/>
  <c r="BY113" i="5"/>
  <c r="CF113" i="5"/>
  <c r="K114" i="5"/>
  <c r="T114" i="5"/>
  <c r="AA114" i="5"/>
  <c r="AH114" i="5"/>
  <c r="AM114" i="5"/>
  <c r="AR114" i="5"/>
  <c r="AW114" i="5"/>
  <c r="BB114" i="5"/>
  <c r="BG114" i="5"/>
  <c r="BM114" i="5"/>
  <c r="BS114" i="5"/>
  <c r="BY114" i="5"/>
  <c r="CF114" i="5"/>
  <c r="K115" i="5"/>
  <c r="T115" i="5"/>
  <c r="AA115" i="5"/>
  <c r="AH115" i="5"/>
  <c r="AM115" i="5"/>
  <c r="AR115" i="5"/>
  <c r="AW115" i="5"/>
  <c r="BB115" i="5"/>
  <c r="BG115" i="5"/>
  <c r="BM115" i="5"/>
  <c r="BS115" i="5"/>
  <c r="BY115" i="5"/>
  <c r="CF115" i="5"/>
  <c r="K116" i="5"/>
  <c r="T116" i="5"/>
  <c r="AA116" i="5"/>
  <c r="AH116" i="5"/>
  <c r="AM116" i="5"/>
  <c r="AR116" i="5"/>
  <c r="AW116" i="5"/>
  <c r="BB116" i="5"/>
  <c r="BG116" i="5"/>
  <c r="BM116" i="5"/>
  <c r="BS116" i="5"/>
  <c r="BY116" i="5"/>
  <c r="CF116" i="5"/>
  <c r="K117" i="5"/>
  <c r="T117" i="5"/>
  <c r="AA117" i="5"/>
  <c r="AH117" i="5"/>
  <c r="AM117" i="5"/>
  <c r="AR117" i="5"/>
  <c r="AW117" i="5"/>
  <c r="BB117" i="5"/>
  <c r="BG117" i="5"/>
  <c r="BM117" i="5"/>
  <c r="BS117" i="5"/>
  <c r="BY117" i="5"/>
  <c r="CF117" i="5"/>
  <c r="K118" i="5"/>
  <c r="T118" i="5"/>
  <c r="AA118" i="5"/>
  <c r="AH118" i="5"/>
  <c r="AM118" i="5"/>
  <c r="AR118" i="5"/>
  <c r="AW118" i="5"/>
  <c r="BB118" i="5"/>
  <c r="BG118" i="5"/>
  <c r="BM118" i="5"/>
  <c r="BS118" i="5"/>
  <c r="BY118" i="5"/>
  <c r="CF118" i="5"/>
  <c r="K119" i="5"/>
  <c r="T119" i="5"/>
  <c r="AA119" i="5"/>
  <c r="AH119" i="5"/>
  <c r="AM119" i="5"/>
  <c r="AR119" i="5"/>
  <c r="AW119" i="5"/>
  <c r="BB119" i="5"/>
  <c r="BG119" i="5"/>
  <c r="BM119" i="5"/>
  <c r="BS119" i="5"/>
  <c r="BY119" i="5"/>
  <c r="CF119" i="5"/>
  <c r="K120" i="5"/>
  <c r="T120" i="5"/>
  <c r="AA120" i="5"/>
  <c r="AH120" i="5"/>
  <c r="AM120" i="5"/>
  <c r="AR120" i="5"/>
  <c r="AW120" i="5"/>
  <c r="BB120" i="5"/>
  <c r="BG120" i="5"/>
  <c r="BM120" i="5"/>
  <c r="BS120" i="5"/>
  <c r="BY120" i="5"/>
  <c r="CF120" i="5"/>
  <c r="K121" i="5"/>
  <c r="T121" i="5"/>
  <c r="AA121" i="5"/>
  <c r="AH121" i="5"/>
  <c r="AM121" i="5"/>
  <c r="AR121" i="5"/>
  <c r="AW121" i="5"/>
  <c r="BB121" i="5"/>
  <c r="BG121" i="5"/>
  <c r="BM121" i="5"/>
  <c r="BS121" i="5"/>
  <c r="BY121" i="5"/>
  <c r="CF121" i="5"/>
  <c r="K122" i="5"/>
  <c r="T122" i="5"/>
  <c r="AA122" i="5"/>
  <c r="AH122" i="5"/>
  <c r="AM122" i="5"/>
  <c r="AR122" i="5"/>
  <c r="AW122" i="5"/>
  <c r="BB122" i="5"/>
  <c r="BG122" i="5"/>
  <c r="BM122" i="5"/>
  <c r="BS122" i="5"/>
  <c r="BY122" i="5"/>
  <c r="CF122" i="5"/>
  <c r="K123" i="5"/>
  <c r="T123" i="5"/>
  <c r="AA123" i="5"/>
  <c r="AH123" i="5"/>
  <c r="AM123" i="5"/>
  <c r="AR123" i="5"/>
  <c r="AW123" i="5"/>
  <c r="BB123" i="5"/>
  <c r="BG123" i="5"/>
  <c r="BM123" i="5"/>
  <c r="BS123" i="5"/>
  <c r="BY123" i="5"/>
  <c r="CF123" i="5"/>
  <c r="K124" i="5"/>
  <c r="T124" i="5"/>
  <c r="AA124" i="5"/>
  <c r="AH124" i="5"/>
  <c r="AM124" i="5"/>
  <c r="AR124" i="5"/>
  <c r="AW124" i="5"/>
  <c r="BB124" i="5"/>
  <c r="BG124" i="5"/>
  <c r="BM124" i="5"/>
  <c r="BS124" i="5"/>
  <c r="BY124" i="5"/>
  <c r="CF124" i="5"/>
  <c r="K125" i="5"/>
  <c r="T125" i="5"/>
  <c r="AA125" i="5"/>
  <c r="AH125" i="5"/>
  <c r="AM125" i="5"/>
  <c r="AR125" i="5"/>
  <c r="AW125" i="5"/>
  <c r="BB125" i="5"/>
  <c r="BG125" i="5"/>
  <c r="BM125" i="5"/>
  <c r="BS125" i="5"/>
  <c r="BY125" i="5"/>
  <c r="CF125" i="5"/>
  <c r="K126" i="5"/>
  <c r="T126" i="5"/>
  <c r="AA126" i="5"/>
  <c r="AH126" i="5"/>
  <c r="AM126" i="5"/>
  <c r="AR126" i="5"/>
  <c r="AW126" i="5"/>
  <c r="BB126" i="5"/>
  <c r="BG126" i="5"/>
  <c r="BM126" i="5"/>
  <c r="BS126" i="5"/>
  <c r="BY126" i="5"/>
  <c r="CF126" i="5"/>
  <c r="K127" i="5"/>
  <c r="T127" i="5"/>
  <c r="AA127" i="5"/>
  <c r="AH127" i="5"/>
  <c r="AM127" i="5"/>
  <c r="AR127" i="5"/>
  <c r="AW127" i="5"/>
  <c r="BB127" i="5"/>
  <c r="BG127" i="5"/>
  <c r="BM127" i="5"/>
  <c r="BS127" i="5"/>
  <c r="BY127" i="5"/>
  <c r="CF127" i="5"/>
  <c r="K128" i="5"/>
  <c r="T128" i="5"/>
  <c r="AA128" i="5"/>
  <c r="AH128" i="5"/>
  <c r="AM128" i="5"/>
  <c r="AR128" i="5"/>
  <c r="AW128" i="5"/>
  <c r="BB128" i="5"/>
  <c r="BG128" i="5"/>
  <c r="BM128" i="5"/>
  <c r="BS128" i="5"/>
  <c r="BY128" i="5"/>
  <c r="CF128" i="5"/>
  <c r="K129" i="5"/>
  <c r="T129" i="5"/>
  <c r="AA129" i="5"/>
  <c r="AH129" i="5"/>
  <c r="AM129" i="5"/>
  <c r="AR129" i="5"/>
  <c r="AW129" i="5"/>
  <c r="BB129" i="5"/>
  <c r="BG129" i="5"/>
  <c r="BM129" i="5"/>
  <c r="BS129" i="5"/>
  <c r="BY129" i="5"/>
  <c r="CF129" i="5"/>
  <c r="K130" i="5"/>
  <c r="T130" i="5"/>
  <c r="AA130" i="5"/>
  <c r="AH130" i="5"/>
  <c r="AM130" i="5"/>
  <c r="AR130" i="5"/>
  <c r="AW130" i="5"/>
  <c r="BB130" i="5"/>
  <c r="BG130" i="5"/>
  <c r="BM130" i="5"/>
  <c r="BS130" i="5"/>
  <c r="BY130" i="5"/>
  <c r="CF130" i="5"/>
  <c r="K131" i="5"/>
  <c r="T131" i="5"/>
  <c r="AA131" i="5"/>
  <c r="AH131" i="5"/>
  <c r="AM131" i="5"/>
  <c r="AR131" i="5"/>
  <c r="AW131" i="5"/>
  <c r="BB131" i="5"/>
  <c r="BG131" i="5"/>
  <c r="BM131" i="5"/>
  <c r="BS131" i="5"/>
  <c r="BY131" i="5"/>
  <c r="CF131" i="5"/>
  <c r="K132" i="5"/>
  <c r="T132" i="5"/>
  <c r="AA132" i="5"/>
  <c r="AH132" i="5"/>
  <c r="AM132" i="5"/>
  <c r="AR132" i="5"/>
  <c r="AW132" i="5"/>
  <c r="BB132" i="5"/>
  <c r="BG132" i="5"/>
  <c r="BM132" i="5"/>
  <c r="BS132" i="5"/>
  <c r="BY132" i="5"/>
  <c r="CF132" i="5"/>
  <c r="K133" i="5"/>
  <c r="T133" i="5"/>
  <c r="AA133" i="5"/>
  <c r="AH133" i="5"/>
  <c r="AM133" i="5"/>
  <c r="AR133" i="5"/>
  <c r="AW133" i="5"/>
  <c r="BB133" i="5"/>
  <c r="BG133" i="5"/>
  <c r="BM133" i="5"/>
  <c r="BS133" i="5"/>
  <c r="BY133" i="5"/>
  <c r="CF133" i="5"/>
  <c r="K134" i="5"/>
  <c r="AA134" i="5"/>
  <c r="AH134" i="5"/>
  <c r="AM134" i="5"/>
  <c r="AR134" i="5"/>
  <c r="AW134" i="5"/>
  <c r="BB134" i="5"/>
  <c r="BG134" i="5"/>
  <c r="BM134" i="5"/>
  <c r="BS134" i="5"/>
  <c r="BY134" i="5"/>
  <c r="CF134" i="5"/>
  <c r="K135" i="5"/>
  <c r="AA135" i="5"/>
  <c r="AH135" i="5"/>
  <c r="AM135" i="5"/>
  <c r="AR135" i="5"/>
  <c r="AW135" i="5"/>
  <c r="BB135" i="5"/>
  <c r="BG135" i="5"/>
  <c r="BM135" i="5"/>
  <c r="BS135" i="5"/>
  <c r="BY135" i="5"/>
  <c r="CF135" i="5"/>
  <c r="K136" i="5"/>
  <c r="AA136" i="5"/>
  <c r="AH136" i="5"/>
  <c r="AM136" i="5"/>
  <c r="AR136" i="5"/>
  <c r="AW136" i="5"/>
  <c r="BB136" i="5"/>
  <c r="BG136" i="5"/>
  <c r="BM136" i="5"/>
  <c r="BS136" i="5"/>
  <c r="BY136" i="5"/>
  <c r="CF136" i="5"/>
  <c r="K137" i="5"/>
  <c r="AA137" i="5"/>
  <c r="AM137" i="5"/>
  <c r="AR137" i="5"/>
  <c r="AW137" i="5"/>
  <c r="BB137" i="5"/>
  <c r="BG137" i="5"/>
  <c r="BM137" i="5"/>
  <c r="BS137" i="5"/>
  <c r="BY137" i="5"/>
  <c r="CF137" i="5"/>
  <c r="K138" i="5"/>
  <c r="AA138" i="5"/>
  <c r="AM138" i="5"/>
  <c r="AR138" i="5"/>
  <c r="AW138" i="5"/>
  <c r="BB138" i="5"/>
  <c r="BG138" i="5"/>
  <c r="BM138" i="5"/>
  <c r="BS138" i="5"/>
  <c r="BY138" i="5"/>
  <c r="CF138" i="5"/>
  <c r="K139" i="5"/>
  <c r="AA139" i="5"/>
  <c r="AM139" i="5"/>
  <c r="AR139" i="5"/>
  <c r="AW139" i="5"/>
  <c r="BB139" i="5"/>
  <c r="BG139" i="5"/>
  <c r="BM139" i="5"/>
  <c r="BS139" i="5"/>
  <c r="BY139" i="5"/>
  <c r="CF139" i="5"/>
  <c r="K140" i="5"/>
  <c r="AA140" i="5"/>
  <c r="AM140" i="5"/>
  <c r="AR140" i="5"/>
  <c r="AW140" i="5"/>
  <c r="BB140" i="5"/>
  <c r="BG140" i="5"/>
  <c r="BM140" i="5"/>
  <c r="BS140" i="5"/>
  <c r="BY140" i="5"/>
  <c r="CF140" i="5"/>
  <c r="K141" i="5"/>
  <c r="AA141" i="5"/>
  <c r="AM141" i="5"/>
  <c r="AR141" i="5"/>
  <c r="AW141" i="5"/>
  <c r="BB141" i="5"/>
  <c r="BG141" i="5"/>
  <c r="BM141" i="5"/>
  <c r="BS141" i="5"/>
  <c r="BY141" i="5"/>
  <c r="CF141" i="5"/>
  <c r="K142" i="5"/>
  <c r="AA142" i="5"/>
  <c r="AM142" i="5"/>
  <c r="AR142" i="5"/>
  <c r="AW142" i="5"/>
  <c r="BB142" i="5"/>
  <c r="BG142" i="5"/>
  <c r="BM142" i="5"/>
  <c r="BS142" i="5"/>
  <c r="BY142" i="5"/>
  <c r="CF142" i="5"/>
  <c r="K143" i="5"/>
  <c r="AA143" i="5"/>
  <c r="AM143" i="5"/>
  <c r="AR143" i="5"/>
  <c r="AW143" i="5"/>
  <c r="BB143" i="5"/>
  <c r="BG143" i="5"/>
  <c r="BM143" i="5"/>
  <c r="BS143" i="5"/>
  <c r="BY143" i="5"/>
  <c r="CF143" i="5"/>
  <c r="K144" i="5"/>
  <c r="AM144" i="5"/>
  <c r="AR144" i="5"/>
  <c r="AW144" i="5"/>
  <c r="BB144" i="5"/>
  <c r="BG144" i="5"/>
  <c r="BM144" i="5"/>
  <c r="BS144" i="5"/>
  <c r="BY144" i="5"/>
  <c r="CF144" i="5"/>
  <c r="K145" i="5"/>
  <c r="AM145" i="5"/>
  <c r="AR145" i="5"/>
  <c r="AW145" i="5"/>
  <c r="BB145" i="5"/>
  <c r="BG145" i="5"/>
  <c r="BM145" i="5"/>
  <c r="BS145" i="5"/>
  <c r="BY145" i="5"/>
  <c r="CF145" i="5"/>
  <c r="K146" i="5"/>
  <c r="AM146" i="5"/>
  <c r="AR146" i="5"/>
  <c r="AW146" i="5"/>
  <c r="BB146" i="5"/>
  <c r="BG146" i="5"/>
  <c r="BM146" i="5"/>
  <c r="BS146" i="5"/>
  <c r="BY146" i="5"/>
  <c r="CF146" i="5"/>
  <c r="K147" i="5"/>
  <c r="AM147" i="5"/>
  <c r="AR147" i="5"/>
  <c r="AW147" i="5"/>
  <c r="BB147" i="5"/>
  <c r="BG147" i="5"/>
  <c r="BM147" i="5"/>
  <c r="BS147" i="5"/>
  <c r="BY147" i="5"/>
  <c r="CF147" i="5"/>
  <c r="K148" i="5"/>
  <c r="AM148" i="5"/>
  <c r="AR148" i="5"/>
  <c r="AW148" i="5"/>
  <c r="BB148" i="5"/>
  <c r="BG148" i="5"/>
  <c r="BM148" i="5"/>
  <c r="BS148" i="5"/>
  <c r="BY148" i="5"/>
  <c r="CF148" i="5"/>
  <c r="AM149" i="5"/>
  <c r="AR149" i="5"/>
  <c r="AW149" i="5"/>
  <c r="BB149" i="5"/>
  <c r="BG149" i="5"/>
  <c r="BM149" i="5"/>
  <c r="BS149" i="5"/>
  <c r="BY149" i="5"/>
  <c r="CF149" i="5"/>
  <c r="AM150" i="5"/>
  <c r="AR150" i="5"/>
  <c r="AW150" i="5"/>
  <c r="BB150" i="5"/>
  <c r="BG150" i="5"/>
  <c r="BM150" i="5"/>
  <c r="BS150" i="5"/>
  <c r="BY150" i="5"/>
  <c r="CF150" i="5"/>
  <c r="AM151" i="5"/>
  <c r="AR151" i="5"/>
  <c r="AW151" i="5"/>
  <c r="BB151" i="5"/>
  <c r="BG151" i="5"/>
  <c r="BM151" i="5"/>
  <c r="BS151" i="5"/>
  <c r="BY151" i="5"/>
  <c r="CF151" i="5"/>
  <c r="AM152" i="5"/>
  <c r="AR152" i="5"/>
  <c r="AW152" i="5"/>
  <c r="BB152" i="5"/>
  <c r="BG152" i="5"/>
  <c r="BM152" i="5"/>
  <c r="BS152" i="5"/>
  <c r="BY152" i="5"/>
  <c r="CF152" i="5"/>
  <c r="AM153" i="5"/>
  <c r="AR153" i="5"/>
  <c r="AW153" i="5"/>
  <c r="BB153" i="5"/>
  <c r="BG153" i="5"/>
  <c r="BM153" i="5"/>
  <c r="BS153" i="5"/>
  <c r="BY153" i="5"/>
  <c r="CF153" i="5"/>
  <c r="AM154" i="5"/>
  <c r="AR154" i="5"/>
  <c r="AW154" i="5"/>
  <c r="BB154" i="5"/>
  <c r="BG154" i="5"/>
  <c r="BM154" i="5"/>
  <c r="BS154" i="5"/>
  <c r="BY154" i="5"/>
  <c r="CF154" i="5"/>
  <c r="AM155" i="5"/>
  <c r="AR155" i="5"/>
  <c r="AW155" i="5"/>
  <c r="BB155" i="5"/>
  <c r="BG155" i="5"/>
  <c r="BM155" i="5"/>
  <c r="BS155" i="5"/>
  <c r="BY155" i="5"/>
  <c r="CF155" i="5"/>
  <c r="AM156" i="5"/>
  <c r="AR156" i="5"/>
  <c r="AW156" i="5"/>
  <c r="BB156" i="5"/>
  <c r="BG156" i="5"/>
  <c r="BM156" i="5"/>
  <c r="BS156" i="5"/>
  <c r="BY156" i="5"/>
  <c r="CF156" i="5"/>
  <c r="AM157" i="5"/>
  <c r="AR157" i="5"/>
  <c r="AW157" i="5"/>
  <c r="BB157" i="5"/>
  <c r="BG157" i="5"/>
  <c r="BM157" i="5"/>
  <c r="BS157" i="5"/>
  <c r="BY157" i="5"/>
  <c r="CF157" i="5"/>
  <c r="AM158" i="5"/>
  <c r="AR158" i="5"/>
  <c r="AW158" i="5"/>
  <c r="BB158" i="5"/>
  <c r="BG158" i="5"/>
  <c r="BM158" i="5"/>
  <c r="BS158" i="5"/>
  <c r="BY158" i="5"/>
  <c r="CF158" i="5"/>
  <c r="AM159" i="5"/>
  <c r="AR159" i="5"/>
  <c r="AW159" i="5"/>
  <c r="BB159" i="5"/>
  <c r="BG159" i="5"/>
  <c r="BM159" i="5"/>
  <c r="BS159" i="5"/>
  <c r="BY159" i="5"/>
  <c r="CF159" i="5"/>
  <c r="AM160" i="5"/>
  <c r="AR160" i="5"/>
  <c r="AW160" i="5"/>
  <c r="BB160" i="5"/>
  <c r="BG160" i="5"/>
  <c r="BM160" i="5"/>
  <c r="BS160" i="5"/>
  <c r="BY160" i="5"/>
  <c r="CF160" i="5"/>
  <c r="AM161" i="5"/>
  <c r="AR161" i="5"/>
  <c r="AW161" i="5"/>
  <c r="BB161" i="5"/>
  <c r="BG161" i="5"/>
  <c r="BM161" i="5"/>
  <c r="BS161" i="5"/>
  <c r="BY161" i="5"/>
  <c r="CF161" i="5"/>
  <c r="AM162" i="5"/>
  <c r="AR162" i="5"/>
  <c r="AW162" i="5"/>
  <c r="BB162" i="5"/>
  <c r="BG162" i="5"/>
  <c r="BM162" i="5"/>
  <c r="BS162" i="5"/>
  <c r="BY162" i="5"/>
  <c r="CF162" i="5"/>
  <c r="AM163" i="5"/>
  <c r="AR163" i="5"/>
  <c r="AW163" i="5"/>
  <c r="BB163" i="5"/>
  <c r="BG163" i="5"/>
  <c r="BM163" i="5"/>
  <c r="BS163" i="5"/>
  <c r="BY163" i="5"/>
  <c r="CF163" i="5"/>
  <c r="AM164" i="5"/>
  <c r="AR164" i="5"/>
  <c r="AW164" i="5"/>
  <c r="BB164" i="5"/>
  <c r="BG164" i="5"/>
  <c r="BM164" i="5"/>
  <c r="BS164" i="5"/>
  <c r="BY164" i="5"/>
  <c r="CF164" i="5"/>
  <c r="AM165" i="5"/>
  <c r="AR165" i="5"/>
  <c r="AW165" i="5"/>
  <c r="BB165" i="5"/>
  <c r="BG165" i="5"/>
  <c r="BM165" i="5"/>
  <c r="BS165" i="5"/>
  <c r="BY165" i="5"/>
  <c r="CF165" i="5"/>
  <c r="AM166" i="5"/>
  <c r="AR166" i="5"/>
  <c r="AW166" i="5"/>
  <c r="BB166" i="5"/>
  <c r="BG166" i="5"/>
  <c r="BM166" i="5"/>
  <c r="BS166" i="5"/>
  <c r="BY166" i="5"/>
  <c r="CF166" i="5"/>
  <c r="AM167" i="5"/>
  <c r="AR167" i="5"/>
  <c r="AW167" i="5"/>
  <c r="BB167" i="5"/>
  <c r="BG167" i="5"/>
  <c r="BM167" i="5"/>
  <c r="BS167" i="5"/>
  <c r="BY167" i="5"/>
  <c r="CF167" i="5"/>
  <c r="AM168" i="5"/>
  <c r="AR168" i="5"/>
  <c r="AW168" i="5"/>
  <c r="BB168" i="5"/>
  <c r="BG168" i="5"/>
  <c r="BM168" i="5"/>
  <c r="BS168" i="5"/>
  <c r="BY168" i="5"/>
  <c r="CF168" i="5"/>
  <c r="AM169" i="5"/>
  <c r="AR169" i="5"/>
  <c r="AW169" i="5"/>
  <c r="BB169" i="5"/>
  <c r="BG169" i="5"/>
  <c r="BM169" i="5"/>
  <c r="BS169" i="5"/>
  <c r="BY169" i="5"/>
  <c r="CF169" i="5"/>
  <c r="AM170" i="5"/>
  <c r="AR170" i="5"/>
  <c r="AW170" i="5"/>
  <c r="BB170" i="5"/>
  <c r="BG170" i="5"/>
  <c r="BM170" i="5"/>
  <c r="BS170" i="5"/>
  <c r="BY170" i="5"/>
  <c r="AM171" i="5"/>
  <c r="AR171" i="5"/>
  <c r="AW171" i="5"/>
  <c r="BB171" i="5"/>
  <c r="BG171" i="5"/>
  <c r="BM171" i="5"/>
  <c r="BS171" i="5"/>
  <c r="BY171" i="5"/>
  <c r="AM172" i="5"/>
  <c r="AR172" i="5"/>
  <c r="AW172" i="5"/>
  <c r="BB172" i="5"/>
  <c r="BG172" i="5"/>
  <c r="BM172" i="5"/>
  <c r="BS172" i="5"/>
  <c r="BY172" i="5"/>
  <c r="AM173" i="5"/>
  <c r="AR173" i="5"/>
  <c r="AW173" i="5"/>
  <c r="BB173" i="5"/>
  <c r="BG173" i="5"/>
  <c r="BM173" i="5"/>
  <c r="BS173" i="5"/>
  <c r="BY173" i="5"/>
  <c r="AR174" i="5"/>
  <c r="AW174" i="5"/>
  <c r="BB174" i="5"/>
  <c r="BG174" i="5"/>
  <c r="BM174" i="5"/>
  <c r="BS174" i="5"/>
  <c r="BY174" i="5"/>
  <c r="AR175" i="5"/>
  <c r="AW175" i="5"/>
  <c r="BB175" i="5"/>
  <c r="BG175" i="5"/>
  <c r="BM175" i="5"/>
  <c r="BS175" i="5"/>
  <c r="BY175" i="5"/>
  <c r="AR176" i="5"/>
  <c r="AW176" i="5"/>
  <c r="BB176" i="5"/>
  <c r="BG176" i="5"/>
  <c r="BM176" i="5"/>
  <c r="BS176" i="5"/>
  <c r="BY176" i="5"/>
  <c r="AR177" i="5"/>
  <c r="AW177" i="5"/>
  <c r="BB177" i="5"/>
  <c r="BG177" i="5"/>
  <c r="BM177" i="5"/>
  <c r="BS177" i="5"/>
  <c r="BY177" i="5"/>
  <c r="AR178" i="5"/>
  <c r="AW178" i="5"/>
  <c r="BB178" i="5"/>
  <c r="BG178" i="5"/>
  <c r="BM178" i="5"/>
  <c r="BS178" i="5"/>
  <c r="BY178" i="5"/>
  <c r="AR179" i="5"/>
  <c r="AW179" i="5"/>
  <c r="BB179" i="5"/>
  <c r="BG179" i="5"/>
  <c r="BM179" i="5"/>
  <c r="BS179" i="5"/>
  <c r="BY179" i="5"/>
  <c r="AR180" i="5"/>
  <c r="AW180" i="5"/>
  <c r="BB180" i="5"/>
  <c r="BG180" i="5"/>
  <c r="BM180" i="5"/>
  <c r="BS180" i="5"/>
  <c r="BY180" i="5"/>
  <c r="AR181" i="5"/>
  <c r="AW181" i="5"/>
  <c r="BB181" i="5"/>
  <c r="BG181" i="5"/>
  <c r="BM181" i="5"/>
  <c r="BS181" i="5"/>
  <c r="BY181" i="5"/>
  <c r="AR182" i="5"/>
  <c r="AW182" i="5"/>
  <c r="BB182" i="5"/>
  <c r="BG182" i="5"/>
  <c r="BM182" i="5"/>
  <c r="BS182" i="5"/>
  <c r="BY182" i="5"/>
  <c r="AR183" i="5"/>
  <c r="AW183" i="5"/>
  <c r="BB183" i="5"/>
  <c r="BG183" i="5"/>
  <c r="BM183" i="5"/>
  <c r="BS183" i="5"/>
  <c r="BY183" i="5"/>
  <c r="AR184" i="5"/>
  <c r="AW184" i="5"/>
  <c r="BB184" i="5"/>
  <c r="BG184" i="5"/>
  <c r="BM184" i="5"/>
  <c r="BS184" i="5"/>
  <c r="BY184" i="5"/>
  <c r="AR185" i="5"/>
  <c r="AW185" i="5"/>
  <c r="BB185" i="5"/>
  <c r="BG185" i="5"/>
  <c r="BM185" i="5"/>
  <c r="BS185" i="5"/>
  <c r="BY185" i="5"/>
  <c r="AR186" i="5"/>
  <c r="AW186" i="5"/>
  <c r="BB186" i="5"/>
  <c r="BG186" i="5"/>
  <c r="BM186" i="5"/>
  <c r="BS186" i="5"/>
  <c r="BY186" i="5"/>
  <c r="AR187" i="5"/>
  <c r="AW187" i="5"/>
  <c r="BB187" i="5"/>
  <c r="BG187" i="5"/>
  <c r="BM187" i="5"/>
  <c r="BS187" i="5"/>
  <c r="BY187" i="5"/>
  <c r="AR188" i="5"/>
  <c r="AW188" i="5"/>
  <c r="BB188" i="5"/>
  <c r="BG188" i="5"/>
  <c r="BM188" i="5"/>
  <c r="BS188" i="5"/>
  <c r="BY188" i="5"/>
  <c r="AR189" i="5"/>
  <c r="AW189" i="5"/>
  <c r="BB189" i="5"/>
  <c r="BG189" i="5"/>
  <c r="BM189" i="5"/>
  <c r="BS189" i="5"/>
  <c r="BY189" i="5"/>
  <c r="AR190" i="5"/>
  <c r="AW190" i="5"/>
  <c r="BB190" i="5"/>
  <c r="BG190" i="5"/>
  <c r="BM190" i="5"/>
  <c r="BS190" i="5"/>
  <c r="BY190" i="5"/>
  <c r="AR191" i="5"/>
  <c r="AW191" i="5"/>
  <c r="BB191" i="5"/>
  <c r="BG191" i="5"/>
  <c r="BM191" i="5"/>
  <c r="BS191" i="5"/>
  <c r="BY191" i="5"/>
  <c r="AR192" i="5"/>
  <c r="AW192" i="5"/>
  <c r="BB192" i="5"/>
  <c r="BG192" i="5"/>
  <c r="BM192" i="5"/>
  <c r="BS192" i="5"/>
  <c r="BY192" i="5"/>
  <c r="AR193" i="5"/>
  <c r="AW193" i="5"/>
  <c r="BB193" i="5"/>
  <c r="BG193" i="5"/>
  <c r="BM193" i="5"/>
  <c r="BS193" i="5"/>
  <c r="BY193" i="5"/>
  <c r="AR194" i="5"/>
  <c r="AW194" i="5"/>
  <c r="BB194" i="5"/>
  <c r="BG194" i="5"/>
  <c r="BM194" i="5"/>
  <c r="BS194" i="5"/>
  <c r="BY194" i="5"/>
  <c r="AR195" i="5"/>
  <c r="AW195" i="5"/>
  <c r="BB195" i="5"/>
  <c r="BG195" i="5"/>
  <c r="BM195" i="5"/>
  <c r="BS195" i="5"/>
  <c r="BY195" i="5"/>
  <c r="AR196" i="5"/>
  <c r="AW196" i="5"/>
  <c r="BB196" i="5"/>
  <c r="BG196" i="5"/>
  <c r="BM196" i="5"/>
  <c r="BS196" i="5"/>
  <c r="BY196" i="5"/>
  <c r="AR197" i="5"/>
  <c r="AW197" i="5"/>
  <c r="BB197" i="5"/>
  <c r="BG197" i="5"/>
  <c r="BM197" i="5"/>
  <c r="BS197" i="5"/>
  <c r="BY197" i="5"/>
  <c r="AR198" i="5"/>
  <c r="AW198" i="5"/>
  <c r="BB198" i="5"/>
  <c r="BG198" i="5"/>
  <c r="BM198" i="5"/>
  <c r="BS198" i="5"/>
  <c r="BY198" i="5"/>
  <c r="AR199" i="5"/>
  <c r="AW199" i="5"/>
  <c r="BB199" i="5"/>
  <c r="BG199" i="5"/>
  <c r="BM199" i="5"/>
  <c r="BS199" i="5"/>
  <c r="AR200" i="5"/>
  <c r="AW200" i="5"/>
  <c r="BB200" i="5"/>
  <c r="BG200" i="5"/>
  <c r="BM200" i="5"/>
  <c r="BS200" i="5"/>
  <c r="AR201" i="5"/>
  <c r="AW201" i="5"/>
  <c r="BB201" i="5"/>
  <c r="BG201" i="5"/>
  <c r="BM201" i="5"/>
  <c r="BS201" i="5"/>
  <c r="AR202" i="5"/>
  <c r="AW202" i="5"/>
  <c r="BB202" i="5"/>
  <c r="BG202" i="5"/>
  <c r="BM202" i="5"/>
  <c r="AR203" i="5"/>
  <c r="AW203" i="5"/>
  <c r="BB203" i="5"/>
  <c r="BG203" i="5"/>
  <c r="BM203" i="5"/>
  <c r="AR204" i="5"/>
  <c r="AW204" i="5"/>
  <c r="BB204" i="5"/>
  <c r="BG204" i="5"/>
  <c r="BM204" i="5"/>
  <c r="AR205" i="5"/>
  <c r="AW205" i="5"/>
  <c r="BB205" i="5"/>
  <c r="BG205" i="5"/>
  <c r="BM205" i="5"/>
  <c r="AR206" i="5"/>
  <c r="AW206" i="5"/>
  <c r="BB206" i="5"/>
  <c r="BG206" i="5"/>
  <c r="BM206" i="5"/>
  <c r="AR207" i="5"/>
  <c r="AW207" i="5"/>
  <c r="BB207" i="5"/>
  <c r="BG207" i="5"/>
  <c r="BM207" i="5"/>
  <c r="AR208" i="5"/>
  <c r="AW208" i="5"/>
  <c r="BB208" i="5"/>
  <c r="BG208" i="5"/>
  <c r="BM208" i="5"/>
  <c r="AR209" i="5"/>
  <c r="AW209" i="5"/>
  <c r="BB209" i="5"/>
  <c r="BG209" i="5"/>
  <c r="BM209" i="5"/>
  <c r="AR210" i="5"/>
  <c r="AW210" i="5"/>
  <c r="BB210" i="5"/>
  <c r="BG210" i="5"/>
  <c r="BM210" i="5"/>
  <c r="AR211" i="5"/>
  <c r="AW211" i="5"/>
  <c r="BB211" i="5"/>
  <c r="BG211" i="5"/>
  <c r="BM211" i="5"/>
  <c r="AR212" i="5"/>
  <c r="AW212" i="5"/>
  <c r="BB212" i="5"/>
  <c r="BG212" i="5"/>
  <c r="BM212" i="5"/>
  <c r="AR213" i="5"/>
  <c r="AW213" i="5"/>
  <c r="BB213" i="5"/>
  <c r="BG213" i="5"/>
  <c r="BM213" i="5"/>
  <c r="AR214" i="5"/>
  <c r="AW214" i="5"/>
  <c r="BB214" i="5"/>
  <c r="BG214" i="5"/>
  <c r="BM214" i="5"/>
  <c r="AR215" i="5"/>
  <c r="AW215" i="5"/>
  <c r="BB215" i="5"/>
  <c r="BG215" i="5"/>
  <c r="BM215" i="5"/>
  <c r="AR216" i="5"/>
  <c r="AW216" i="5"/>
  <c r="BB216" i="5"/>
  <c r="BG216" i="5"/>
  <c r="AR217" i="5"/>
  <c r="AW217" i="5"/>
  <c r="BB217" i="5"/>
  <c r="BG217" i="5"/>
  <c r="AR218" i="5"/>
  <c r="AW218" i="5"/>
  <c r="BB218" i="5"/>
  <c r="BG218" i="5"/>
  <c r="AR219" i="5"/>
  <c r="AW219" i="5"/>
  <c r="BB219" i="5"/>
  <c r="BG219" i="5"/>
  <c r="AR220" i="5"/>
  <c r="AW220" i="5"/>
  <c r="BB220" i="5"/>
  <c r="BG220" i="5"/>
  <c r="AR221" i="5"/>
  <c r="AW221" i="5"/>
  <c r="BB221" i="5"/>
  <c r="BG221" i="5"/>
  <c r="AR222" i="5"/>
  <c r="AW222" i="5"/>
  <c r="BB222" i="5"/>
  <c r="BG222" i="5"/>
  <c r="AR223" i="5"/>
  <c r="AW223" i="5"/>
  <c r="BB223" i="5"/>
  <c r="BG223" i="5"/>
  <c r="AR224" i="5"/>
  <c r="AW224" i="5"/>
  <c r="BB224" i="5"/>
  <c r="BG224" i="5"/>
  <c r="AR225" i="5"/>
  <c r="AW225" i="5"/>
  <c r="BB225" i="5"/>
  <c r="BG225" i="5"/>
  <c r="AR226" i="5"/>
  <c r="AW226" i="5"/>
  <c r="BB226" i="5"/>
  <c r="BG226" i="5"/>
  <c r="AR227" i="5"/>
  <c r="AW227" i="5"/>
  <c r="BB227" i="5"/>
  <c r="BG227" i="5"/>
  <c r="AR228" i="5"/>
  <c r="AW228" i="5"/>
  <c r="BB228" i="5"/>
  <c r="BG228" i="5"/>
  <c r="AR229" i="5"/>
  <c r="AW229" i="5"/>
  <c r="BB229" i="5"/>
  <c r="BG229" i="5"/>
  <c r="AR230" i="5"/>
  <c r="AW230" i="5"/>
  <c r="BB230" i="5"/>
  <c r="BG230" i="5"/>
  <c r="AR231" i="5"/>
  <c r="AW231" i="5"/>
  <c r="BB231" i="5"/>
  <c r="BG231" i="5"/>
  <c r="AR232" i="5"/>
  <c r="AW232" i="5"/>
  <c r="BB232" i="5"/>
  <c r="BG232" i="5"/>
  <c r="AR233" i="5"/>
  <c r="AW233" i="5"/>
  <c r="BB233" i="5"/>
  <c r="BG233" i="5"/>
  <c r="AR234" i="5"/>
  <c r="AW234" i="5"/>
  <c r="BB234" i="5"/>
  <c r="BG234" i="5"/>
  <c r="AR235" i="5"/>
  <c r="AW235" i="5"/>
  <c r="BB235" i="5"/>
  <c r="BG235" i="5"/>
  <c r="AR236" i="5"/>
  <c r="AW236" i="5"/>
  <c r="BB236" i="5"/>
  <c r="BG236" i="5"/>
  <c r="BG237" i="5"/>
  <c r="BG238" i="5"/>
  <c r="BG239" i="5"/>
  <c r="BG240" i="5"/>
  <c r="CN5" i="5"/>
  <c r="CN6" i="5"/>
  <c r="CN7" i="5"/>
  <c r="CN8" i="5"/>
  <c r="CN9" i="5"/>
  <c r="CN10" i="5"/>
  <c r="CN11" i="5"/>
  <c r="CN12" i="5"/>
  <c r="CN13" i="5"/>
  <c r="CN14" i="5"/>
  <c r="CN15" i="5"/>
  <c r="CN16" i="5"/>
  <c r="CN17" i="5"/>
  <c r="CN18" i="5"/>
  <c r="CN19" i="5"/>
  <c r="CN20" i="5"/>
  <c r="CN21" i="5"/>
  <c r="CN22" i="5"/>
  <c r="CN23" i="5"/>
  <c r="CN24" i="5"/>
  <c r="CN25" i="5"/>
  <c r="CN26" i="5"/>
  <c r="CN27" i="5"/>
  <c r="CN28" i="5"/>
  <c r="CN29" i="5"/>
  <c r="CN30" i="5"/>
  <c r="CN31" i="5"/>
  <c r="CN32" i="5"/>
  <c r="CN33" i="5"/>
  <c r="CN34" i="5"/>
  <c r="CN35" i="5"/>
  <c r="CN36" i="5"/>
  <c r="CN37" i="5"/>
  <c r="CN38" i="5"/>
  <c r="CN39" i="5"/>
  <c r="CN40" i="5"/>
  <c r="CN41" i="5"/>
  <c r="CN42" i="5"/>
  <c r="CN43" i="5"/>
  <c r="CN44" i="5"/>
  <c r="CN45" i="5"/>
  <c r="CN46" i="5"/>
  <c r="CN47" i="5"/>
  <c r="CN48" i="5"/>
  <c r="CN49" i="5"/>
  <c r="CN50" i="5"/>
  <c r="CN51" i="5"/>
  <c r="CN52" i="5"/>
  <c r="CN53" i="5"/>
  <c r="CN54" i="5"/>
  <c r="CN55" i="5"/>
  <c r="CN56" i="5"/>
  <c r="CN57" i="5"/>
  <c r="CN58" i="5"/>
  <c r="CN59" i="5"/>
  <c r="CN60" i="5"/>
  <c r="CN61" i="5"/>
  <c r="CN62" i="5"/>
  <c r="CN63" i="5"/>
  <c r="CN64" i="5"/>
  <c r="CN65" i="5"/>
  <c r="CN66" i="5"/>
  <c r="CN67" i="5"/>
  <c r="CN68" i="5"/>
  <c r="CN69" i="5"/>
  <c r="CN70" i="5"/>
  <c r="CN71" i="5"/>
  <c r="CN72" i="5"/>
  <c r="CN73" i="5"/>
  <c r="CN74" i="5"/>
  <c r="CN75" i="5"/>
  <c r="CN76" i="5"/>
  <c r="CN77" i="5"/>
  <c r="CN78" i="5"/>
  <c r="CN79" i="5"/>
  <c r="CN80" i="5"/>
  <c r="CN81" i="5"/>
  <c r="CN82" i="5"/>
  <c r="CN83" i="5"/>
  <c r="CN84" i="5"/>
  <c r="CN85" i="5"/>
  <c r="CN86" i="5"/>
  <c r="CN87" i="5"/>
  <c r="CN88" i="5"/>
  <c r="CN89" i="5"/>
  <c r="CN90" i="5"/>
  <c r="CN91" i="5"/>
  <c r="CN92" i="5"/>
  <c r="CN93" i="5"/>
  <c r="CN94" i="5"/>
  <c r="CN95" i="5"/>
  <c r="CN96" i="5"/>
  <c r="CN97" i="5"/>
  <c r="CN98" i="5"/>
  <c r="CN99" i="5"/>
  <c r="CN100" i="5"/>
  <c r="CN101" i="5"/>
  <c r="CN102" i="5"/>
  <c r="CN103" i="5"/>
  <c r="CN104" i="5"/>
  <c r="CN105" i="5"/>
  <c r="CN106" i="5"/>
  <c r="CN107" i="5"/>
  <c r="CN108" i="5"/>
  <c r="CN109" i="5"/>
  <c r="CN110" i="5"/>
  <c r="CN111" i="5"/>
  <c r="CN112" i="5"/>
  <c r="CN113" i="5"/>
  <c r="CN114" i="5"/>
  <c r="CN115" i="5"/>
  <c r="CN116" i="5"/>
  <c r="CN117" i="5"/>
  <c r="CN118" i="5"/>
  <c r="CN119" i="5"/>
  <c r="CN120" i="5"/>
  <c r="CN121" i="5"/>
  <c r="CN122" i="5"/>
  <c r="CN123" i="5"/>
  <c r="CN124" i="5"/>
  <c r="CN125" i="5"/>
  <c r="CN126" i="5"/>
  <c r="CN127" i="5"/>
  <c r="CN128" i="5"/>
  <c r="CN129" i="5"/>
  <c r="CN130" i="5"/>
  <c r="CN131" i="5"/>
  <c r="CN132" i="5"/>
  <c r="CN133" i="5"/>
  <c r="CN134" i="5"/>
  <c r="CN135" i="5"/>
  <c r="CN136" i="5"/>
  <c r="CN137" i="5"/>
  <c r="CN138" i="5"/>
  <c r="CN139" i="5"/>
  <c r="CN140" i="5"/>
  <c r="CN141" i="5"/>
  <c r="CN142" i="5"/>
  <c r="CN143" i="5"/>
  <c r="CN144" i="5"/>
  <c r="CN145" i="5"/>
  <c r="CN146" i="5"/>
  <c r="CN147" i="5"/>
  <c r="CN148" i="5"/>
  <c r="CN149" i="5"/>
  <c r="CN150" i="5"/>
  <c r="CN151" i="5"/>
  <c r="CN152" i="5"/>
  <c r="CN153" i="5"/>
  <c r="CN154" i="5"/>
  <c r="CN155" i="5"/>
  <c r="CN156" i="5"/>
  <c r="CN157" i="5"/>
  <c r="CN158" i="5"/>
  <c r="CN159" i="5"/>
  <c r="CN160" i="5"/>
  <c r="CN161" i="5"/>
  <c r="CN4" i="5"/>
  <c r="CN3" i="5"/>
  <c r="CN2" i="5"/>
  <c r="CM7" i="5"/>
  <c r="CM8" i="5"/>
  <c r="CM9" i="5"/>
  <c r="CM10" i="5"/>
  <c r="CM11" i="5"/>
  <c r="CM12" i="5"/>
  <c r="CM13" i="5"/>
  <c r="CM14" i="5"/>
  <c r="CM15" i="5"/>
  <c r="CM16" i="5"/>
  <c r="CM17" i="5"/>
  <c r="CM18" i="5"/>
  <c r="CM19" i="5"/>
  <c r="CM20" i="5"/>
  <c r="CM21" i="5"/>
  <c r="CM22" i="5"/>
  <c r="CM23" i="5"/>
  <c r="CM24" i="5"/>
  <c r="CM25" i="5"/>
  <c r="CM26" i="5"/>
  <c r="CM27" i="5"/>
  <c r="CM28" i="5"/>
  <c r="CM29" i="5"/>
  <c r="CM30" i="5"/>
  <c r="CM31" i="5"/>
  <c r="CM32" i="5"/>
  <c r="CM33" i="5"/>
  <c r="CM34" i="5"/>
  <c r="CM35" i="5"/>
  <c r="CM36" i="5"/>
  <c r="CM37" i="5"/>
  <c r="CM38" i="5"/>
  <c r="CM39" i="5"/>
  <c r="CM40" i="5"/>
  <c r="CM41" i="5"/>
  <c r="CM42" i="5"/>
  <c r="CM43" i="5"/>
  <c r="CM44" i="5"/>
  <c r="CM45" i="5"/>
  <c r="CM46" i="5"/>
  <c r="CM47" i="5"/>
  <c r="CM48" i="5"/>
  <c r="CM49" i="5"/>
  <c r="CM50" i="5"/>
  <c r="CM51" i="5"/>
  <c r="CM52" i="5"/>
  <c r="CM53" i="5"/>
  <c r="CM54" i="5"/>
  <c r="CM55" i="5"/>
  <c r="CM56" i="5"/>
  <c r="CM57" i="5"/>
  <c r="CM58" i="5"/>
  <c r="CM59" i="5"/>
  <c r="CM60" i="5"/>
  <c r="CM61" i="5"/>
  <c r="CM62" i="5"/>
  <c r="CM63" i="5"/>
  <c r="CM64" i="5"/>
  <c r="CM65" i="5"/>
  <c r="CM66" i="5"/>
  <c r="CM67" i="5"/>
  <c r="CM68" i="5"/>
  <c r="CM69" i="5"/>
  <c r="CM71" i="5"/>
  <c r="CM72" i="5"/>
  <c r="CM73" i="5"/>
  <c r="CM74" i="5"/>
  <c r="CM75" i="5"/>
  <c r="CM76" i="5"/>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103" i="5"/>
  <c r="CM104" i="5"/>
  <c r="CM105" i="5"/>
  <c r="CM106" i="5"/>
  <c r="CM107" i="5"/>
  <c r="CM108" i="5"/>
  <c r="CM109" i="5"/>
  <c r="CM110" i="5"/>
  <c r="CM111" i="5"/>
  <c r="CM112" i="5"/>
  <c r="CM113" i="5"/>
  <c r="CM114" i="5"/>
  <c r="CM115" i="5"/>
  <c r="CM116" i="5"/>
  <c r="CM117" i="5"/>
  <c r="CM118" i="5"/>
  <c r="CM119" i="5"/>
  <c r="CM120" i="5"/>
  <c r="CM121" i="5"/>
  <c r="CM122" i="5"/>
  <c r="CM123" i="5"/>
  <c r="CM124" i="5"/>
  <c r="CM125" i="5"/>
  <c r="CM126" i="5"/>
  <c r="CM127" i="5"/>
  <c r="CM128" i="5"/>
  <c r="CM129" i="5"/>
  <c r="CM130" i="5"/>
  <c r="CM131" i="5"/>
  <c r="CM132" i="5"/>
  <c r="CM133" i="5"/>
  <c r="CM134" i="5"/>
  <c r="CM135" i="5"/>
  <c r="CM136" i="5"/>
  <c r="CM137" i="5"/>
  <c r="CM138" i="5"/>
  <c r="CM139" i="5"/>
  <c r="CM140" i="5"/>
  <c r="CM141" i="5"/>
  <c r="CM142" i="5"/>
  <c r="CM143" i="5"/>
  <c r="CM144" i="5"/>
  <c r="CM145" i="5"/>
  <c r="CM146" i="5"/>
  <c r="CM147" i="5"/>
  <c r="CM148" i="5"/>
  <c r="CM149" i="5"/>
  <c r="CM150" i="5"/>
  <c r="CM151" i="5"/>
  <c r="CM152" i="5"/>
  <c r="CM153" i="5"/>
  <c r="CM154" i="5"/>
  <c r="CM155" i="5"/>
  <c r="CM156" i="5"/>
  <c r="CM157" i="5"/>
  <c r="CM158" i="5"/>
  <c r="CM159" i="5"/>
  <c r="CM160" i="5"/>
  <c r="CM161" i="5"/>
  <c r="CM6" i="5"/>
  <c r="CM4" i="5"/>
  <c r="CM5" i="5"/>
  <c r="B3" i="6"/>
  <c r="D15" i="6" s="1"/>
  <c r="C13" i="6" s="1"/>
  <c r="C92" i="6"/>
  <c r="M90" i="6"/>
  <c r="C89" i="6"/>
  <c r="C90" i="6" s="1"/>
  <c r="S35" i="6" s="1"/>
  <c r="W87" i="6"/>
  <c r="W86" i="6"/>
  <c r="F86" i="6"/>
  <c r="C86" i="6"/>
  <c r="C87" i="6"/>
  <c r="C93" i="6" s="1"/>
  <c r="W84" i="6"/>
  <c r="W83" i="6"/>
  <c r="M83" i="6"/>
  <c r="M84" i="6" s="1"/>
  <c r="C83" i="6"/>
  <c r="W82" i="6"/>
  <c r="M82" i="6"/>
  <c r="D78" i="6"/>
  <c r="D79" i="6" s="1"/>
  <c r="Z15" i="6" s="1"/>
  <c r="D76" i="6"/>
  <c r="C76" i="6"/>
  <c r="O75" i="6"/>
  <c r="D75" i="6"/>
  <c r="C75" i="6"/>
  <c r="E75" i="6" s="1"/>
  <c r="F75" i="6" s="1"/>
  <c r="D74" i="6"/>
  <c r="E74" i="6" s="1"/>
  <c r="F74" i="6" s="1"/>
  <c r="C74" i="6"/>
  <c r="O72" i="6"/>
  <c r="D72" i="6"/>
  <c r="E73" i="6" s="1"/>
  <c r="X25" i="6" s="1"/>
  <c r="AA26" i="6" s="1"/>
  <c r="C72" i="6"/>
  <c r="S27" i="6" s="1"/>
  <c r="C67" i="6"/>
  <c r="AB6" i="6" s="1"/>
  <c r="Y66" i="6"/>
  <c r="Y65" i="6"/>
  <c r="R64" i="6"/>
  <c r="Y67" i="6" s="1"/>
  <c r="O56" i="6"/>
  <c r="L56" i="6"/>
  <c r="Y46" i="6"/>
  <c r="L49" i="6"/>
  <c r="S26" i="6"/>
  <c r="P26" i="6"/>
  <c r="S25" i="6"/>
  <c r="P25" i="6"/>
  <c r="P17" i="6"/>
  <c r="P16" i="6"/>
  <c r="P15" i="6"/>
  <c r="F15" i="6"/>
  <c r="K8" i="6"/>
  <c r="H8" i="6"/>
  <c r="M26" i="1"/>
  <c r="I29" i="1"/>
  <c r="I21" i="1"/>
  <c r="I15" i="1"/>
  <c r="I17" i="1" s="1"/>
  <c r="D17" i="1" s="1"/>
  <c r="B32" i="1" s="1"/>
  <c r="O37" i="1"/>
  <c r="Q6" i="1"/>
  <c r="Q3" i="1"/>
  <c r="E4" i="5"/>
  <c r="J25" i="1"/>
  <c r="B24" i="1"/>
  <c r="B21" i="1"/>
  <c r="J16" i="1"/>
  <c r="F10" i="1"/>
  <c r="E83" i="6"/>
  <c r="H82" i="6"/>
  <c r="F83" i="6"/>
  <c r="O36" i="1"/>
  <c r="Q9" i="1" l="1"/>
  <c r="O38" i="1"/>
  <c r="J24" i="1"/>
  <c r="K23" i="1" s="1"/>
  <c r="I18" i="1"/>
  <c r="I20" i="1" s="1"/>
  <c r="I22" i="1" s="1"/>
  <c r="I24" i="1" s="1"/>
  <c r="O35" i="1"/>
  <c r="D27" i="1" s="1"/>
  <c r="W85" i="6"/>
  <c r="M96" i="6" s="1"/>
  <c r="E76" i="6"/>
  <c r="E77" i="6" s="1"/>
  <c r="Z34" i="6"/>
  <c r="C55" i="6" s="1"/>
  <c r="C94" i="6"/>
  <c r="Y27" i="6"/>
  <c r="C88" i="6"/>
  <c r="S45" i="6"/>
  <c r="Z45" i="6"/>
  <c r="S34" i="6"/>
  <c r="C52" i="6"/>
  <c r="Y35" i="6" s="1"/>
  <c r="L38" i="6" s="1"/>
  <c r="I26" i="1" l="1"/>
  <c r="I27" i="1" s="1"/>
  <c r="I28" i="1" s="1"/>
  <c r="W88" i="6"/>
  <c r="W90" i="6" s="1"/>
  <c r="W94" i="6" s="1"/>
  <c r="F76" i="6"/>
  <c r="AA35" i="6"/>
  <c r="S46" i="6"/>
  <c r="F88" i="6"/>
  <c r="G88" i="6" s="1"/>
  <c r="O73" i="6"/>
  <c r="O71" i="6"/>
  <c r="F77" i="6" s="1"/>
  <c r="O74" i="6"/>
  <c r="AA46" i="6"/>
  <c r="C49" i="6"/>
  <c r="I30" i="1" l="1"/>
  <c r="N13" i="1" s="1"/>
  <c r="W92" i="6"/>
  <c r="M86" i="6" s="1"/>
  <c r="M97" i="6" s="1"/>
  <c r="F12" i="1" l="1"/>
  <c r="I31" i="1"/>
  <c r="M88" i="6"/>
  <c r="M92" i="6" s="1"/>
  <c r="L58" i="6" s="1"/>
  <c r="L57" i="6" l="1"/>
</calcChain>
</file>

<file path=xl/sharedStrings.xml><?xml version="1.0" encoding="utf-8"?>
<sst xmlns="http://schemas.openxmlformats.org/spreadsheetml/2006/main" count="6599" uniqueCount="1353">
  <si>
    <t>VA Loan Limit and First Colony Mortgage Calculator</t>
  </si>
  <si>
    <t>For assistance on how to complete form; click "Calculator Job Aid" tab at the bottom of this workbook. For VA IRRRL loans, select "VA IRRRL" tab at bottom.</t>
  </si>
  <si>
    <t>2024 VA Purchase/Refinance Loan Limit and First Colony Mortgage Calculator 
*Note: To utilize this calculator, the Excel Workbook Calculation setting must be set as "Automatic." To change the workbook Calculation setting, navigate to File &gt; Options &gt; Formulas.  Under Calculations, select "Automatic." Click OK.</t>
  </si>
  <si>
    <t>VA Cash-Out and IRRRL Refinance Transactions</t>
  </si>
  <si>
    <t>A</t>
  </si>
  <si>
    <t>VA Funding Fee %</t>
  </si>
  <si>
    <t>COMPLETE GREY SHADED BOXES ONLY</t>
  </si>
  <si>
    <t>Number of consecutive payments made on original loan that is being refinanced (evidenced by credit report or credit supplement)</t>
  </si>
  <si>
    <t>B</t>
  </si>
  <si>
    <t>Full Entitlement Or Partial Entitlement</t>
  </si>
  <si>
    <t>Full Entitlement</t>
  </si>
  <si>
    <t xml:space="preserve"> - COUNTY NOT LISTED -</t>
  </si>
  <si>
    <t>Limit on Total Loan Amount</t>
  </si>
  <si>
    <t>C</t>
  </si>
  <si>
    <t>County Loan Limit</t>
  </si>
  <si>
    <t>Select (State) - County here -&gt;</t>
  </si>
  <si>
    <t xml:space="preserve">Here </t>
  </si>
  <si>
    <t>D</t>
  </si>
  <si>
    <t>Loan Limit (inclusive of Financed Funding Fee)</t>
  </si>
  <si>
    <t>Purchase OR Refinance:</t>
  </si>
  <si>
    <t>Purchase</t>
  </si>
  <si>
    <t>First payment due date of new loan (xx/xx/xxxx):</t>
  </si>
  <si>
    <t>Sales Price and Appraised Value</t>
  </si>
  <si>
    <t>E</t>
  </si>
  <si>
    <t>Requested Base Loan Amount:</t>
  </si>
  <si>
    <t>Are Seasoning Requirements Met:</t>
  </si>
  <si>
    <t>F</t>
  </si>
  <si>
    <t>Sales Price (Leave Blank If Transaction is a Refinance)</t>
  </si>
  <si>
    <t>G</t>
  </si>
  <si>
    <t>Appraised Value</t>
  </si>
  <si>
    <t>LTV</t>
  </si>
  <si>
    <t>H</t>
  </si>
  <si>
    <t>Select One</t>
  </si>
  <si>
    <t>Coverage and Available Guaranty</t>
  </si>
  <si>
    <t>1MLTV</t>
  </si>
  <si>
    <t>I</t>
  </si>
  <si>
    <t>Maximum Base Entitlement</t>
  </si>
  <si>
    <t>J</t>
  </si>
  <si>
    <t>Maximum Bonus Entitlement (for loan amounts greater than $144,000)</t>
  </si>
  <si>
    <t>K</t>
  </si>
  <si>
    <r>
      <t xml:space="preserve">Less: Previously Used Entitlement (from COE) 
</t>
    </r>
    <r>
      <rPr>
        <i/>
        <sz val="8"/>
        <rFont val="Calibri"/>
        <family val="2"/>
      </rPr>
      <t>Note: enter zero if current VA entitlement will be restored with sale of current VA financed home or refinance of current VA loan</t>
    </r>
  </si>
  <si>
    <t>Recoupment for VA IRRRL Transactions</t>
  </si>
  <si>
    <t>L</t>
  </si>
  <si>
    <t>Current Available Entitlement</t>
  </si>
  <si>
    <t>M</t>
  </si>
  <si>
    <t>Required Guaranty</t>
  </si>
  <si>
    <t>Down Payment</t>
  </si>
  <si>
    <t>MUST be &gt;= 25%</t>
  </si>
  <si>
    <t>N</t>
  </si>
  <si>
    <r>
      <t xml:space="preserve">Down Payment Due from Guaranty Shortfall </t>
    </r>
    <r>
      <rPr>
        <i/>
        <sz val="8"/>
        <rFont val="Calibri"/>
        <family val="2"/>
      </rPr>
      <t>(difference between Required and Avaialble Entitlement)</t>
    </r>
  </si>
  <si>
    <t>O</t>
  </si>
  <si>
    <t>P</t>
  </si>
  <si>
    <t>Required Down Payment</t>
  </si>
  <si>
    <t>Was the initial Recoupment worksheet provided to the borrower within 3 days of the application?</t>
  </si>
  <si>
    <t>Q</t>
  </si>
  <si>
    <t>Veteran's Additional Down Payment (Optional)</t>
  </si>
  <si>
    <t>R</t>
  </si>
  <si>
    <t>Is the P&amp;I based on the TOTAL loan amount?</t>
  </si>
  <si>
    <t>Preliminary Base Loan Amount</t>
  </si>
  <si>
    <t>Is the recoupment ≤ 36 months?</t>
  </si>
  <si>
    <t>S</t>
  </si>
  <si>
    <t>Total Eligible Maximum Base Loan Amount:</t>
  </si>
  <si>
    <t>T</t>
  </si>
  <si>
    <t>Total Funding Fee</t>
  </si>
  <si>
    <t>U</t>
  </si>
  <si>
    <t>Funding Fee Not Eligible for Financing (only whole dollar amounts permitted)</t>
  </si>
  <si>
    <t>V</t>
  </si>
  <si>
    <t>Refinance or Purchase &gt; $1,000,000: Amount of Funding Fee not able to be financed into the loan due to exceeding 90% LTV threshold</t>
  </si>
  <si>
    <t>`</t>
  </si>
  <si>
    <t>W</t>
  </si>
  <si>
    <t xml:space="preserve">Maximum Eligible Financed Funding Fee </t>
  </si>
  <si>
    <t>X</t>
  </si>
  <si>
    <t>Total Eligible Final Loan Amount:</t>
  </si>
  <si>
    <t>Underwriter:</t>
  </si>
  <si>
    <t>Date:</t>
  </si>
  <si>
    <t>=</t>
  </si>
  <si>
    <t>Additional Information Sources</t>
  </si>
  <si>
    <t>Purch Max Base LTV</t>
  </si>
  <si>
    <t>*    Information on County Loan Limits is available at http://www.benefits.va.gov/homeloans/loan_limits.asp
**  For Refinance Transactions, financed fee must comply with all requirements in VA Circular 26-18-30.</t>
  </si>
  <si>
    <t>Financed FF LTV</t>
  </si>
  <si>
    <t>90% LTV Purhcase &gt;1M</t>
  </si>
  <si>
    <t>Original Issue Date: 09/15/2021</t>
  </si>
  <si>
    <t>Updated 07/08/24</t>
  </si>
  <si>
    <t>VA IRRRL Worksheet</t>
  </si>
  <si>
    <t>Required Information</t>
  </si>
  <si>
    <t xml:space="preserve"> VA IRRRL SAFE HARBOR WORKSHEET</t>
  </si>
  <si>
    <t>Borrower:</t>
  </si>
  <si>
    <t>New Loan #</t>
  </si>
  <si>
    <t>Current loan</t>
  </si>
  <si>
    <t>Proposed loan</t>
  </si>
  <si>
    <t>To ensure that IRRRLs meet the requirements for QM loans with Safe Harbor, all of the requirements below must be satisfied by the new loan.</t>
  </si>
  <si>
    <t xml:space="preserve"> </t>
  </si>
  <si>
    <t>Interest Rate</t>
  </si>
  <si>
    <t>%</t>
  </si>
  <si>
    <t>FRM or ARM</t>
  </si>
  <si>
    <t>P&amp;I Payment</t>
  </si>
  <si>
    <t>$</t>
  </si>
  <si>
    <t>Loan Seasoning</t>
  </si>
  <si>
    <t>The closing of the new IRRRL loan must be the later of 210 days after the due date of 1st payment or after the 6th payment made.  No 30-day past due payments during 6 months preceding new loan closing date.</t>
  </si>
  <si>
    <t>Original Term</t>
  </si>
  <si>
    <t>mo</t>
  </si>
  <si>
    <t>New Loan Term</t>
  </si>
  <si>
    <t>Remaining Term</t>
  </si>
  <si>
    <t>Closing Date</t>
  </si>
  <si>
    <t>Original Closing Date</t>
  </si>
  <si>
    <t>Earliest closing date:</t>
  </si>
  <si>
    <t>First Payment Due</t>
  </si>
  <si>
    <t>Discount Points (%)</t>
  </si>
  <si>
    <t>not $</t>
  </si>
  <si>
    <t>Sixth Payment Made</t>
  </si>
  <si>
    <t>From Payoff Stmt</t>
  </si>
  <si>
    <t>Per DOT Screen</t>
  </si>
  <si>
    <t>Principal Balance</t>
  </si>
  <si>
    <t>Prepaids</t>
  </si>
  <si>
    <t>e.</t>
  </si>
  <si>
    <t>Net Tangible Benefit</t>
  </si>
  <si>
    <t>The IRRRL must provide the Veteran or borrower a net tangible benefit.</t>
  </si>
  <si>
    <t>Accrued Interest</t>
  </si>
  <si>
    <t>Closing Costs</t>
  </si>
  <si>
    <t>f.</t>
  </si>
  <si>
    <t>Allowed Payoff Fees</t>
  </si>
  <si>
    <t>Discount Points</t>
  </si>
  <si>
    <t>h.</t>
  </si>
  <si>
    <t>Funding Fee</t>
  </si>
  <si>
    <t>g.</t>
  </si>
  <si>
    <t>Lender Credit</t>
  </si>
  <si>
    <t>Original Mortgage:</t>
  </si>
  <si>
    <t>@</t>
  </si>
  <si>
    <t>NTB Type:</t>
  </si>
  <si>
    <t>CC Paid By Others</t>
  </si>
  <si>
    <t>New Mortgage:</t>
  </si>
  <si>
    <t xml:space="preserve">Minimum Rate Reduction: </t>
  </si>
  <si>
    <t>Interest Rate Lower By:</t>
  </si>
  <si>
    <t>NTB Test:</t>
  </si>
  <si>
    <t>Recoupment of Fees</t>
  </si>
  <si>
    <t xml:space="preserve"> - If P&amp;I is going down, financed fees and charges must be recouped within 36 months.  
 - If P&amp;I is going up, any costs and fees (other than the funding fee, taxes and escrow impounds) must offset by lender credit.</t>
  </si>
  <si>
    <t>P&amp;I payment is decreasing by</t>
  </si>
  <si>
    <t>Months to recoup:</t>
  </si>
  <si>
    <t>Fees to be recouped</t>
  </si>
  <si>
    <t xml:space="preserve">Recoup Test: </t>
  </si>
  <si>
    <r>
      <rPr>
        <b/>
        <sz val="14"/>
        <rFont val="Calibri"/>
        <family val="2"/>
      </rPr>
      <t>Statutory</t>
    </r>
    <r>
      <rPr>
        <sz val="12"/>
        <rFont val="Calibri"/>
        <family val="2"/>
      </rPr>
      <t xml:space="preserve"> Calculation Recoupment of Fees</t>
    </r>
  </si>
  <si>
    <t>STATUTORY</t>
  </si>
  <si>
    <t>IS P&amp;I LOWER</t>
  </si>
  <si>
    <t>NEED VERBIAGE</t>
  </si>
  <si>
    <t>RECOUPMENT NOT NEEDED</t>
  </si>
  <si>
    <t>RECOUPMENT MET</t>
  </si>
  <si>
    <t>RECOUPMENT SEE BELOW</t>
  </si>
  <si>
    <t>SEE BELOW</t>
  </si>
  <si>
    <t>STANDARD</t>
  </si>
  <si>
    <t>Other Factors</t>
  </si>
  <si>
    <t>Additional items for IRRRL loans.</t>
  </si>
  <si>
    <t xml:space="preserve">All fees (other than the funding fee, taxes and escrow impounds) must be offset by a Lender Credit. </t>
  </si>
  <si>
    <t xml:space="preserve">  Max Base loan amount</t>
  </si>
  <si>
    <t>Maximum Total Loan Amount</t>
  </si>
  <si>
    <t>Actual Prod</t>
  </si>
  <si>
    <t>possible product</t>
  </si>
  <si>
    <t xml:space="preserve">Recoup </t>
  </si>
  <si>
    <t>-</t>
  </si>
  <si>
    <t>ARM</t>
  </si>
  <si>
    <t>payment</t>
  </si>
  <si>
    <t>Unknown</t>
  </si>
  <si>
    <t>FRM</t>
  </si>
  <si>
    <t>Term</t>
  </si>
  <si>
    <t>ARM to ARM</t>
  </si>
  <si>
    <t>ARMARM</t>
  </si>
  <si>
    <t>Product</t>
  </si>
  <si>
    <t>ARM to FRM</t>
  </si>
  <si>
    <t>ARMFRM</t>
  </si>
  <si>
    <t>None</t>
  </si>
  <si>
    <t>FRMARM</t>
  </si>
  <si>
    <t>none</t>
  </si>
  <si>
    <t>FRMFRM</t>
  </si>
  <si>
    <t>Interest change:</t>
  </si>
  <si>
    <t>FRM to ARM</t>
  </si>
  <si>
    <t>FRM to FRM</t>
  </si>
  <si>
    <t>STANDARD CALC</t>
  </si>
  <si>
    <t>standard payment savings</t>
  </si>
  <si>
    <t>STATUTORY CALC</t>
  </si>
  <si>
    <t>statutory payment savings</t>
  </si>
  <si>
    <t>Term check</t>
  </si>
  <si>
    <t>Seasoning</t>
  </si>
  <si>
    <t>FPM + 210</t>
  </si>
  <si>
    <t>Earliest close date</t>
  </si>
  <si>
    <t>BASE LOAN AMOUNT CALCULATION</t>
  </si>
  <si>
    <t>TRANSACTION FEES CALCULATION</t>
  </si>
  <si>
    <t>Payment increase check</t>
  </si>
  <si>
    <t>UPB</t>
  </si>
  <si>
    <t>PREPAIDS</t>
  </si>
  <si>
    <t>ANY ALLOWABLE OTHER FEES</t>
  </si>
  <si>
    <t>CLOSING COSTS</t>
  </si>
  <si>
    <t>TOTAL PAYOFF</t>
  </si>
  <si>
    <t>DISCOUNT POINT</t>
  </si>
  <si>
    <t>Recoupment</t>
  </si>
  <si>
    <t>TOTAL COSTS</t>
  </si>
  <si>
    <t>Gross charges</t>
  </si>
  <si>
    <t>payment savings</t>
  </si>
  <si>
    <t>NET OF LENDER CREDIT</t>
  </si>
  <si>
    <t>FUNDING FEE</t>
  </si>
  <si>
    <t>Fees net of credit</t>
  </si>
  <si>
    <t>LENDER CREDIT &amp; CC PAID BY OTHERS</t>
  </si>
  <si>
    <t>Fees to recoup</t>
  </si>
  <si>
    <t>MAX BASE LOAN AMOUNT</t>
  </si>
  <si>
    <t>IS LENDER CREDIT MORE THAN COSTS?</t>
  </si>
  <si>
    <t>Total Fees To Recoup - Lender Credit</t>
  </si>
  <si>
    <t>CC PAID BY OTHERS</t>
  </si>
  <si>
    <t>FINANCED FUNDING FEE</t>
  </si>
  <si>
    <t>MAXIMUM LENDER CREDIT + CC PAID BY OTHERS</t>
  </si>
  <si>
    <t>New Base loan check</t>
  </si>
  <si>
    <t>MAX TOTAL LOAN AMOUNT</t>
  </si>
  <si>
    <t>FEES ABLE TO BE ADDED TO BASE</t>
  </si>
  <si>
    <t>Allowed fees/charges</t>
  </si>
  <si>
    <t>max new loan</t>
  </si>
  <si>
    <t>EXCESS LENDER CREDIT</t>
  </si>
  <si>
    <t>Payment is not increasing by 20%.</t>
  </si>
  <si>
    <t>Payment information shows no change</t>
  </si>
  <si>
    <t>STANDARD FEES TO RECOUP</t>
  </si>
  <si>
    <t>STATUTORY FEES TO RECOUP</t>
  </si>
  <si>
    <r>
      <t xml:space="preserve">Payment is increasing by &gt;=20%.   </t>
    </r>
    <r>
      <rPr>
        <i/>
        <sz val="11"/>
        <rFont val="Calibri"/>
        <family val="2"/>
      </rPr>
      <t>Borrower must be credit qualified</t>
    </r>
  </si>
  <si>
    <t xml:space="preserve"> Payment is not increasing by 20%.</t>
  </si>
  <si>
    <t xml:space="preserve">  No discount point shown.   Appraisal not required.</t>
  </si>
  <si>
    <t xml:space="preserve">  Discount points are being charged.  If going from FIXED to ARM, an appraisal is required and LTV may not exceed 100%.  </t>
  </si>
  <si>
    <t xml:space="preserve">  Discount points are being charged.  If going from FIXED to ARM, an appraisal is required and LTV may not exceed 90%.</t>
  </si>
  <si>
    <t xml:space="preserve">  Discount points &gt; 2 may not be financed.  Also, if going from FIXED to ARM, LTV may not exceed 90% of Appraisal.</t>
  </si>
  <si>
    <t>2021 VA Loan Limit and First Colony Mortgage Calculator Job Aid</t>
  </si>
  <si>
    <t xml:space="preserve">This job aid details how to utilize the 2021 VA Loan Limit and First Colony Mortgage Calculator. </t>
  </si>
  <si>
    <t>Use the letters in the furthest left column, each of which correspond to a field on the calculator, to navigate to the desired field.</t>
  </si>
  <si>
    <t>Field Name</t>
  </si>
  <si>
    <t xml:space="preserve">Field Instruction/Explanation </t>
  </si>
  <si>
    <t>Select the percentage from drop-down menu.</t>
  </si>
  <si>
    <t>Review the Veteran's Certificate of Eligibility (COE) and select either "Full Entitlement" or "Partial Entitlement" from the drop-down menu depending on the following circumstances:
     •  If there are no loans listed showing entitlement charged select "Full Entitlement". 
     •  If the loans listed on the COE are to be paid off, and entitlement restored at the 
         same time as the subject transaction (selling a home with VA financing or
         refinancing a VA loan,) select "Full Entitlement".
     •  If there is entitlement used for another active loan or a previously foreclosed loan,
         select "Partial Entitlement".</t>
  </si>
  <si>
    <r>
      <t xml:space="preserve">Select a state and county from drop-down menu located on the far right. If nothing is selected, this field defaults to "- COUNTY NOT LISTED -". 
</t>
    </r>
    <r>
      <rPr>
        <b/>
        <sz val="10"/>
        <color indexed="63"/>
        <rFont val="Calibri"/>
        <family val="2"/>
      </rPr>
      <t>County Not Listed</t>
    </r>
    <r>
      <rPr>
        <sz val="10"/>
        <color indexed="63"/>
        <rFont val="Calibri"/>
        <family val="2"/>
      </rPr>
      <t>: 
     •  Leave the default setting and the</t>
    </r>
    <r>
      <rPr>
        <i/>
        <sz val="10"/>
        <color indexed="63"/>
        <rFont val="Calibri"/>
        <family val="2"/>
      </rPr>
      <t xml:space="preserve"> County Loan Limit</t>
    </r>
    <r>
      <rPr>
        <sz val="10"/>
        <color indexed="63"/>
        <rFont val="Calibri"/>
        <family val="2"/>
      </rPr>
      <t xml:space="preserve"> will default to the lowest
         limit of $548,250.
</t>
    </r>
    <r>
      <rPr>
        <b/>
        <sz val="10"/>
        <color indexed="63"/>
        <rFont val="Calibri"/>
        <family val="2"/>
      </rPr>
      <t>County Listed:</t>
    </r>
    <r>
      <rPr>
        <sz val="10"/>
        <color indexed="63"/>
        <rFont val="Calibri"/>
        <family val="2"/>
      </rPr>
      <t xml:space="preserve">
     •  Select the applicable county and the </t>
    </r>
    <r>
      <rPr>
        <i/>
        <sz val="10"/>
        <color indexed="63"/>
        <rFont val="Calibri"/>
        <family val="2"/>
      </rPr>
      <t xml:space="preserve">County Loan Limit </t>
    </r>
    <r>
      <rPr>
        <sz val="10"/>
        <color indexed="63"/>
        <rFont val="Calibri"/>
        <family val="2"/>
      </rPr>
      <t>field will update to the
         higher loan limit based on that county.</t>
    </r>
  </si>
  <si>
    <t>Purchase or Refinance</t>
  </si>
  <si>
    <t>Select "Purchase" or "Refinance" from the drop-down menu located on the far right to identify the transaction type.</t>
  </si>
  <si>
    <t>Requested Base Loan Amount</t>
  </si>
  <si>
    <r>
      <t xml:space="preserve">Enter the desired loan amount not inclusive of the funding fee.
</t>
    </r>
    <r>
      <rPr>
        <b/>
        <i/>
        <sz val="10"/>
        <color indexed="63"/>
        <rFont val="Calibri"/>
        <family val="2"/>
      </rPr>
      <t>Note:</t>
    </r>
    <r>
      <rPr>
        <sz val="10"/>
        <color indexed="63"/>
        <rFont val="Calibri"/>
        <family val="2"/>
      </rPr>
      <t xml:space="preserve"> For refinance transactions, if the Veteran wishes to finance any portion of the funding fee, the base loan amount must be less than 90% of the appraised value, as the total of the base loan amount and the financed funding fee cannot exceed 90% of the appraised value.</t>
    </r>
  </si>
  <si>
    <t>Sales Price</t>
  </si>
  <si>
    <r>
      <rPr>
        <b/>
        <sz val="10"/>
        <color indexed="63"/>
        <rFont val="Calibri"/>
        <family val="2"/>
      </rPr>
      <t>Purchase</t>
    </r>
    <r>
      <rPr>
        <sz val="10"/>
        <color indexed="63"/>
        <rFont val="Calibri"/>
        <family val="2"/>
      </rPr>
      <t xml:space="preserve">: Enter the sales price. 
</t>
    </r>
    <r>
      <rPr>
        <b/>
        <sz val="10"/>
        <color indexed="63"/>
        <rFont val="Calibri"/>
        <family val="2"/>
      </rPr>
      <t>Refinance:</t>
    </r>
    <r>
      <rPr>
        <sz val="10"/>
        <color indexed="63"/>
        <rFont val="Calibri"/>
        <family val="2"/>
      </rPr>
      <t xml:space="preserve"> Leave this field blank.</t>
    </r>
  </si>
  <si>
    <r>
      <t xml:space="preserve">Enter the appraised value. 
</t>
    </r>
    <r>
      <rPr>
        <b/>
        <i/>
        <sz val="10"/>
        <color indexed="63"/>
        <rFont val="Calibri"/>
        <family val="2"/>
      </rPr>
      <t xml:space="preserve">Note: </t>
    </r>
    <r>
      <rPr>
        <sz val="10"/>
        <color indexed="63"/>
        <rFont val="Calibri"/>
        <family val="2"/>
      </rPr>
      <t>This field must be completed for all transactions to ensure proper calculations and functionality of the worksheet.</t>
    </r>
  </si>
  <si>
    <t>Lesser of Sales Price, Appraised Value, or Base Loan Amount</t>
  </si>
  <si>
    <r>
      <t xml:space="preserve">This field will populate with the lesser of the described fields based on the transaction type.
</t>
    </r>
    <r>
      <rPr>
        <b/>
        <i/>
        <sz val="10"/>
        <color indexed="63"/>
        <rFont val="Calibri"/>
        <family val="2"/>
      </rPr>
      <t>Error Messages:</t>
    </r>
    <r>
      <rPr>
        <sz val="10"/>
        <color indexed="63"/>
        <rFont val="Calibri"/>
        <family val="2"/>
      </rPr>
      <t xml:space="preserve">
</t>
    </r>
    <r>
      <rPr>
        <sz val="5"/>
        <color indexed="63"/>
        <rFont val="Calibri"/>
        <family val="2"/>
      </rPr>
      <t xml:space="preserve">
</t>
    </r>
    <r>
      <rPr>
        <sz val="10"/>
        <color indexed="63"/>
        <rFont val="Calibri"/>
        <family val="2"/>
      </rPr>
      <t xml:space="preserve">     •  </t>
    </r>
    <r>
      <rPr>
        <b/>
        <sz val="10"/>
        <color indexed="63"/>
        <rFont val="Calibri"/>
        <family val="2"/>
      </rPr>
      <t>Base Loan Amount greater than $1,000,000</t>
    </r>
    <r>
      <rPr>
        <sz val="10"/>
        <color indexed="63"/>
        <rFont val="Calibri"/>
        <family val="2"/>
      </rPr>
      <t>: The following error message will
         occur: "</t>
    </r>
    <r>
      <rPr>
        <i/>
        <sz val="10"/>
        <color indexed="63"/>
        <rFont val="Calibri"/>
        <family val="2"/>
      </rPr>
      <t>Base + funding fee cannot exceed 90% for Loan ammounts &gt; $1,000,000</t>
    </r>
    <r>
      <rPr>
        <sz val="10"/>
        <color indexed="63"/>
        <rFont val="Calibri"/>
        <family val="2"/>
      </rPr>
      <t xml:space="preserve">"
     • </t>
    </r>
    <r>
      <rPr>
        <b/>
        <sz val="10"/>
        <color indexed="63"/>
        <rFont val="Calibri"/>
        <family val="2"/>
      </rPr>
      <t xml:space="preserve"> Base Loan Amount greater than $1,500,000</t>
    </r>
    <r>
      <rPr>
        <sz val="10"/>
        <color indexed="63"/>
        <rFont val="Calibri"/>
        <family val="2"/>
      </rPr>
      <t>: The following error  message will
         occur: "</t>
    </r>
    <r>
      <rPr>
        <i/>
        <sz val="10"/>
        <color indexed="63"/>
        <rFont val="Calibri"/>
        <family val="2"/>
      </rPr>
      <t>Total loan amount cannot exceed $1,500,000</t>
    </r>
    <r>
      <rPr>
        <sz val="10"/>
        <color indexed="63"/>
        <rFont val="Calibri"/>
        <family val="2"/>
      </rPr>
      <t>"</t>
    </r>
  </si>
  <si>
    <t>This field defaults to $36,000 as all eligible Veterans are granted this minimum amount of entitlement.</t>
  </si>
  <si>
    <t>Maximum Bonus Entitlement</t>
  </si>
  <si>
    <r>
      <t xml:space="preserve">When the </t>
    </r>
    <r>
      <rPr>
        <i/>
        <sz val="10"/>
        <color indexed="63"/>
        <rFont val="Calibri"/>
        <family val="2"/>
      </rPr>
      <t>Requested Base Loan Amount</t>
    </r>
    <r>
      <rPr>
        <sz val="10"/>
        <color indexed="63"/>
        <rFont val="Calibri"/>
        <family val="2"/>
      </rPr>
      <t xml:space="preserve"> exceeds $144,000, this field will calculate to the maximum bonus entitlement amount. This amount is determined by the status of previously used entitlement and the county loan limit when applicable.</t>
    </r>
  </si>
  <si>
    <t>Previously Used Entitlement (from COE)</t>
  </si>
  <si>
    <t xml:space="preserve">Enter the amount of previously used entitlement that will not be restored prior or concurrent to the subject closing. </t>
  </si>
  <si>
    <r>
      <t xml:space="preserve">This field calculates as the </t>
    </r>
    <r>
      <rPr>
        <i/>
        <sz val="10"/>
        <color indexed="63"/>
        <rFont val="Calibri"/>
        <family val="2"/>
      </rPr>
      <t>Maximum Base Entitlement</t>
    </r>
    <r>
      <rPr>
        <sz val="10"/>
        <color indexed="63"/>
        <rFont val="Calibri"/>
        <family val="2"/>
      </rPr>
      <t xml:space="preserve"> plus (+) the </t>
    </r>
    <r>
      <rPr>
        <i/>
        <sz val="10"/>
        <color indexed="63"/>
        <rFont val="Calibri"/>
        <family val="2"/>
      </rPr>
      <t>Maximum Bonus Entitlement (for loan amounts greater than $144,000)</t>
    </r>
    <r>
      <rPr>
        <sz val="10"/>
        <color indexed="63"/>
        <rFont val="Calibri"/>
        <family val="2"/>
      </rPr>
      <t xml:space="preserve"> minus (-) the </t>
    </r>
    <r>
      <rPr>
        <i/>
        <sz val="10"/>
        <color indexed="63"/>
        <rFont val="Calibri"/>
        <family val="2"/>
      </rPr>
      <t>Previously Used Entitlement (from COE).</t>
    </r>
    <r>
      <rPr>
        <sz val="10"/>
        <color indexed="63"/>
        <rFont val="Calibri"/>
        <family val="2"/>
      </rPr>
      <t xml:space="preserve">
</t>
    </r>
    <r>
      <rPr>
        <b/>
        <i/>
        <sz val="10"/>
        <color indexed="63"/>
        <rFont val="Calibri"/>
        <family val="2"/>
      </rPr>
      <t>Note</t>
    </r>
    <r>
      <rPr>
        <i/>
        <sz val="10"/>
        <color indexed="63"/>
        <rFont val="Calibri"/>
        <family val="2"/>
      </rPr>
      <t>:</t>
    </r>
    <r>
      <rPr>
        <sz val="10"/>
        <color indexed="63"/>
        <rFont val="Calibri"/>
        <family val="2"/>
      </rPr>
      <t xml:space="preserve">  If the Veteran has no entitlement available after this calculation and there will not be a restoration of the previously used entitlement, the loan would not be eligible for guaranty by VA as there is no guaranty entitlement available.</t>
    </r>
  </si>
  <si>
    <r>
      <t xml:space="preserve">Purchase: This field calculates to 25% of the lesser of the </t>
    </r>
    <r>
      <rPr>
        <i/>
        <sz val="10"/>
        <color indexed="63"/>
        <rFont val="Calibri"/>
        <family val="2"/>
      </rPr>
      <t>Sales Price</t>
    </r>
    <r>
      <rPr>
        <sz val="10"/>
        <color indexed="63"/>
        <rFont val="Calibri"/>
        <family val="2"/>
      </rPr>
      <t xml:space="preserve"> or </t>
    </r>
    <r>
      <rPr>
        <i/>
        <sz val="10"/>
        <color indexed="63"/>
        <rFont val="Calibri"/>
        <family val="2"/>
      </rPr>
      <t>Appraised Value.</t>
    </r>
    <r>
      <rPr>
        <sz val="10"/>
        <color indexed="63"/>
        <rFont val="Calibri"/>
        <family val="2"/>
      </rPr>
      <t xml:space="preserve">
</t>
    </r>
    <r>
      <rPr>
        <u/>
        <sz val="10"/>
        <color indexed="63"/>
        <rFont val="Calibri"/>
        <family val="2"/>
      </rPr>
      <t xml:space="preserve">
</t>
    </r>
    <r>
      <rPr>
        <sz val="10"/>
        <color indexed="63"/>
        <rFont val="Calibri"/>
        <family val="2"/>
      </rPr>
      <t xml:space="preserve">Refinance: This field calculates to 25% of the </t>
    </r>
    <r>
      <rPr>
        <i/>
        <sz val="10"/>
        <color indexed="63"/>
        <rFont val="Calibri"/>
        <family val="2"/>
      </rPr>
      <t>Appraised Value.</t>
    </r>
  </si>
  <si>
    <t>Downpayment Due from Guaranty Shortfall</t>
  </si>
  <si>
    <r>
      <t xml:space="preserve">If the </t>
    </r>
    <r>
      <rPr>
        <i/>
        <sz val="10"/>
        <color indexed="63"/>
        <rFont val="Calibri"/>
        <family val="2"/>
      </rPr>
      <t>Current Available Entitlement</t>
    </r>
    <r>
      <rPr>
        <sz val="10"/>
        <color indexed="63"/>
        <rFont val="Calibri"/>
        <family val="2"/>
      </rPr>
      <t xml:space="preserve"> is less than</t>
    </r>
    <r>
      <rPr>
        <i/>
        <sz val="10"/>
        <color indexed="63"/>
        <rFont val="Calibri"/>
        <family val="2"/>
      </rPr>
      <t xml:space="preserve"> Required Guaranty</t>
    </r>
    <r>
      <rPr>
        <sz val="10"/>
        <color indexed="63"/>
        <rFont val="Calibri"/>
        <family val="2"/>
      </rPr>
      <t>, the difference must be brought as cash to closing to ensure the lender has sufficient guaranty for the entire loan amount and sales price/appraised value.</t>
    </r>
  </si>
  <si>
    <r>
      <t xml:space="preserve">Difference in Loan Amount and Value
</t>
    </r>
    <r>
      <rPr>
        <b/>
        <sz val="10"/>
        <color indexed="63"/>
        <rFont val="Calibri"/>
        <family val="2"/>
      </rPr>
      <t xml:space="preserve">     •  Purchase</t>
    </r>
    <r>
      <rPr>
        <sz val="10"/>
        <color indexed="63"/>
        <rFont val="Calibri"/>
        <family val="2"/>
      </rPr>
      <t>:</t>
    </r>
    <r>
      <rPr>
        <i/>
        <sz val="10"/>
        <color indexed="63"/>
        <rFont val="Calibri"/>
        <family val="2"/>
      </rPr>
      <t xml:space="preserve"> Down Payment Due from Sales Price
         Exceeding Value
     •  </t>
    </r>
    <r>
      <rPr>
        <b/>
        <sz val="10"/>
        <color indexed="63"/>
        <rFont val="Calibri"/>
        <family val="2"/>
      </rPr>
      <t>Refinance</t>
    </r>
    <r>
      <rPr>
        <sz val="10"/>
        <color indexed="63"/>
        <rFont val="Calibri"/>
        <family val="2"/>
      </rPr>
      <t>:</t>
    </r>
    <r>
      <rPr>
        <i/>
        <sz val="10"/>
        <color indexed="63"/>
        <rFont val="Calibri"/>
        <family val="2"/>
      </rPr>
      <t xml:space="preserve"> Equity Available in Property</t>
    </r>
  </si>
  <si>
    <r>
      <rPr>
        <b/>
        <sz val="10"/>
        <color indexed="63"/>
        <rFont val="Calibri"/>
        <family val="2"/>
      </rPr>
      <t xml:space="preserve">     •  Purchase</t>
    </r>
    <r>
      <rPr>
        <sz val="10"/>
        <color indexed="63"/>
        <rFont val="Calibri"/>
        <family val="2"/>
      </rPr>
      <t xml:space="preserve">: If the </t>
    </r>
    <r>
      <rPr>
        <i/>
        <sz val="10"/>
        <color indexed="63"/>
        <rFont val="Calibri"/>
        <family val="2"/>
      </rPr>
      <t>Sales Price</t>
    </r>
    <r>
      <rPr>
        <sz val="10"/>
        <color indexed="63"/>
        <rFont val="Calibri"/>
        <family val="2"/>
      </rPr>
      <t xml:space="preserve"> exceeds the </t>
    </r>
    <r>
      <rPr>
        <i/>
        <sz val="10"/>
        <color indexed="63"/>
        <rFont val="Calibri"/>
        <family val="2"/>
      </rPr>
      <t>Appraised Value</t>
    </r>
    <r>
      <rPr>
        <sz val="10"/>
        <color indexed="63"/>
        <rFont val="Calibri"/>
        <family val="2"/>
      </rPr>
      <t xml:space="preserve">, the Veteran must
         bring the difference as cash to closing. That amount is calculated here.
     •  </t>
    </r>
    <r>
      <rPr>
        <b/>
        <sz val="10"/>
        <color indexed="63"/>
        <rFont val="Calibri"/>
        <family val="2"/>
      </rPr>
      <t>Refinance</t>
    </r>
    <r>
      <rPr>
        <sz val="10"/>
        <color indexed="63"/>
        <rFont val="Calibri"/>
        <family val="2"/>
      </rPr>
      <t xml:space="preserve">: The amount of equity the Veteran has in the home as calculated by the
         difference between the </t>
    </r>
    <r>
      <rPr>
        <i/>
        <sz val="10"/>
        <color indexed="63"/>
        <rFont val="Calibri"/>
        <family val="2"/>
      </rPr>
      <t>Appraised Value</t>
    </r>
    <r>
      <rPr>
        <sz val="10"/>
        <color indexed="63"/>
        <rFont val="Calibri"/>
        <family val="2"/>
      </rPr>
      <t xml:space="preserve"> and the</t>
    </r>
    <r>
      <rPr>
        <i/>
        <sz val="10"/>
        <color indexed="63"/>
        <rFont val="Calibri"/>
        <family val="2"/>
      </rPr>
      <t xml:space="preserve"> Requested Base Loan Amount 
         </t>
    </r>
    <r>
      <rPr>
        <sz val="10"/>
        <color indexed="63"/>
        <rFont val="Calibri"/>
        <family val="2"/>
      </rPr>
      <t xml:space="preserve">will be shown. This amount can be used to assist in meeting the minimum
         </t>
    </r>
    <r>
      <rPr>
        <i/>
        <sz val="10"/>
        <color indexed="63"/>
        <rFont val="Calibri"/>
        <family val="2"/>
      </rPr>
      <t>Required Guaranty</t>
    </r>
    <r>
      <rPr>
        <sz val="10"/>
        <color indexed="63"/>
        <rFont val="Calibri"/>
        <family val="2"/>
      </rPr>
      <t xml:space="preserve"> amount.</t>
    </r>
  </si>
  <si>
    <r>
      <rPr>
        <b/>
        <sz val="10"/>
        <color indexed="63"/>
        <rFont val="Calibri"/>
        <family val="2"/>
      </rPr>
      <t xml:space="preserve">     •  Purchase:</t>
    </r>
    <r>
      <rPr>
        <sz val="10"/>
        <color indexed="63"/>
        <rFont val="Calibri"/>
        <family val="2"/>
      </rPr>
      <t xml:space="preserve"> This calculates as the total of the </t>
    </r>
    <r>
      <rPr>
        <i/>
        <sz val="10"/>
        <color indexed="63"/>
        <rFont val="Calibri"/>
        <family val="2"/>
      </rPr>
      <t>Down Payment Due</t>
    </r>
    <r>
      <rPr>
        <sz val="10"/>
        <color indexed="63"/>
        <rFont val="Calibri"/>
        <family val="2"/>
      </rPr>
      <t xml:space="preserve"> </t>
    </r>
    <r>
      <rPr>
        <i/>
        <sz val="10"/>
        <color indexed="63"/>
        <rFont val="Calibri"/>
        <family val="2"/>
      </rPr>
      <t>from Guaranty
         Shortfall</t>
    </r>
    <r>
      <rPr>
        <sz val="10"/>
        <color indexed="63"/>
        <rFont val="Calibri"/>
        <family val="2"/>
      </rPr>
      <t xml:space="preserve"> and</t>
    </r>
    <r>
      <rPr>
        <i/>
        <sz val="10"/>
        <color indexed="63"/>
        <rFont val="Calibri"/>
        <family val="2"/>
      </rPr>
      <t xml:space="preserve"> Down Payment Due</t>
    </r>
    <r>
      <rPr>
        <sz val="10"/>
        <color indexed="63"/>
        <rFont val="Calibri"/>
        <family val="2"/>
      </rPr>
      <t xml:space="preserve"> </t>
    </r>
    <r>
      <rPr>
        <i/>
        <sz val="10"/>
        <color indexed="63"/>
        <rFont val="Calibri"/>
        <family val="2"/>
      </rPr>
      <t>from Sales Price Exceeding Value</t>
    </r>
    <r>
      <rPr>
        <sz val="10"/>
        <color indexed="63"/>
        <rFont val="Calibri"/>
        <family val="2"/>
      </rPr>
      <t xml:space="preserve"> when
         applicable.
     •  </t>
    </r>
    <r>
      <rPr>
        <b/>
        <sz val="10"/>
        <color indexed="63"/>
        <rFont val="Calibri"/>
        <family val="2"/>
      </rPr>
      <t>Refinance</t>
    </r>
    <r>
      <rPr>
        <sz val="10"/>
        <color indexed="63"/>
        <rFont val="Calibri"/>
        <family val="2"/>
      </rPr>
      <t xml:space="preserve">: This calculates as the difference between the </t>
    </r>
    <r>
      <rPr>
        <i/>
        <sz val="10"/>
        <color indexed="63"/>
        <rFont val="Calibri"/>
        <family val="2"/>
      </rPr>
      <t>Down Payment Due from
         Guaranty Shortfall</t>
    </r>
    <r>
      <rPr>
        <sz val="10"/>
        <color indexed="63"/>
        <rFont val="Calibri"/>
        <family val="2"/>
      </rPr>
      <t xml:space="preserve"> and </t>
    </r>
    <r>
      <rPr>
        <i/>
        <sz val="10"/>
        <color indexed="63"/>
        <rFont val="Calibri"/>
        <family val="2"/>
      </rPr>
      <t>Equity Available in the Property</t>
    </r>
    <r>
      <rPr>
        <sz val="10"/>
        <color indexed="63"/>
        <rFont val="Calibri"/>
        <family val="2"/>
      </rPr>
      <t xml:space="preserve"> when the shortfall exceeds
         the equity; otherwise it defaults to zero. This is the minimum amount the Veteran
         must bring as cash to closing.</t>
    </r>
  </si>
  <si>
    <t>Veteran's Additional Downpayment (optional)</t>
  </si>
  <si>
    <t>If the Veteran is bringing any additional cash to close to pay down the principal amount owed, that amount can be entered here and will be added to the cash to close amount.</t>
  </si>
  <si>
    <t>Total Down Payment (Purchase transactions)
Total Down Payment Plus Equity (Refinance transactions)</t>
  </si>
  <si>
    <r>
      <t xml:space="preserve">This field calculates the total of the </t>
    </r>
    <r>
      <rPr>
        <i/>
        <sz val="10"/>
        <color indexed="63"/>
        <rFont val="Calibri"/>
        <family val="2"/>
      </rPr>
      <t>Required Down Payment</t>
    </r>
    <r>
      <rPr>
        <sz val="10"/>
        <color indexed="63"/>
        <rFont val="Calibri"/>
        <family val="2"/>
      </rPr>
      <t xml:space="preserve"> and the </t>
    </r>
    <r>
      <rPr>
        <i/>
        <sz val="10"/>
        <color indexed="63"/>
        <rFont val="Calibri"/>
        <family val="2"/>
      </rPr>
      <t xml:space="preserve">Veteran's Additional Down Payment </t>
    </r>
    <r>
      <rPr>
        <sz val="10"/>
        <color indexed="63"/>
        <rFont val="Calibri"/>
        <family val="2"/>
      </rPr>
      <t xml:space="preserve">fields. This is used with the </t>
    </r>
    <r>
      <rPr>
        <i/>
        <sz val="10"/>
        <color indexed="63"/>
        <rFont val="Calibri"/>
        <family val="2"/>
      </rPr>
      <t xml:space="preserve">Current Available Guaranty </t>
    </r>
    <r>
      <rPr>
        <sz val="10"/>
        <color indexed="63"/>
        <rFont val="Calibri"/>
        <family val="2"/>
      </rPr>
      <t>to determine whether the minimum 25% required guaranty is met.</t>
    </r>
  </si>
  <si>
    <t>Total Eligible Maximum Base Loan Amount</t>
  </si>
  <si>
    <r>
      <rPr>
        <b/>
        <sz val="10"/>
        <color indexed="63"/>
        <rFont val="Calibri"/>
        <family val="2"/>
      </rPr>
      <t xml:space="preserve">     •  Purchase:</t>
    </r>
    <r>
      <rPr>
        <sz val="10"/>
        <color indexed="63"/>
        <rFont val="Calibri"/>
        <family val="2"/>
      </rPr>
      <t xml:space="preserve"> This field calculates to the difference between the lesser of the
         </t>
    </r>
    <r>
      <rPr>
        <i/>
        <sz val="10"/>
        <color indexed="63"/>
        <rFont val="Calibri"/>
        <family val="2"/>
      </rPr>
      <t>Appraised Value</t>
    </r>
    <r>
      <rPr>
        <sz val="10"/>
        <color indexed="63"/>
        <rFont val="Calibri"/>
        <family val="2"/>
      </rPr>
      <t xml:space="preserve"> </t>
    </r>
    <r>
      <rPr>
        <i/>
        <sz val="10"/>
        <color indexed="63"/>
        <rFont val="Calibri"/>
        <family val="2"/>
      </rPr>
      <t>and</t>
    </r>
    <r>
      <rPr>
        <sz val="10"/>
        <color indexed="63"/>
        <rFont val="Calibri"/>
        <family val="2"/>
      </rPr>
      <t xml:space="preserve"> </t>
    </r>
    <r>
      <rPr>
        <i/>
        <sz val="10"/>
        <color indexed="63"/>
        <rFont val="Calibri"/>
        <family val="2"/>
      </rPr>
      <t>Sales Price</t>
    </r>
    <r>
      <rPr>
        <sz val="10"/>
        <color indexed="63"/>
        <rFont val="Calibri"/>
        <family val="2"/>
      </rPr>
      <t xml:space="preserve"> and the </t>
    </r>
    <r>
      <rPr>
        <i/>
        <sz val="10"/>
        <color indexed="63"/>
        <rFont val="Calibri"/>
        <family val="2"/>
      </rPr>
      <t>Total Down Payment.</t>
    </r>
    <r>
      <rPr>
        <sz val="10"/>
        <color indexed="63"/>
        <rFont val="Calibri"/>
        <family val="2"/>
      </rPr>
      <t xml:space="preserve">
</t>
    </r>
    <r>
      <rPr>
        <b/>
        <sz val="10"/>
        <color indexed="63"/>
        <rFont val="Calibri"/>
        <family val="2"/>
      </rPr>
      <t xml:space="preserve">     •  Refinance: </t>
    </r>
    <r>
      <rPr>
        <sz val="10"/>
        <color indexed="63"/>
        <rFont val="Calibri"/>
        <family val="2"/>
      </rPr>
      <t xml:space="preserve">As long as the result is 90% LTV or less, this field calculates to the
         difference between the </t>
    </r>
    <r>
      <rPr>
        <i/>
        <sz val="10"/>
        <color indexed="63"/>
        <rFont val="Calibri"/>
        <family val="2"/>
      </rPr>
      <t>Appraised Value</t>
    </r>
    <r>
      <rPr>
        <sz val="10"/>
        <color indexed="63"/>
        <rFont val="Calibri"/>
        <family val="2"/>
      </rPr>
      <t xml:space="preserve"> and the </t>
    </r>
    <r>
      <rPr>
        <i/>
        <sz val="10"/>
        <color indexed="63"/>
        <rFont val="Calibri"/>
        <family val="2"/>
      </rPr>
      <t xml:space="preserve">Total Down Payment </t>
    </r>
    <r>
      <rPr>
        <sz val="10"/>
        <color indexed="63"/>
        <rFont val="Calibri"/>
        <family val="2"/>
      </rPr>
      <t xml:space="preserve">after
         removing the </t>
    </r>
    <r>
      <rPr>
        <i/>
        <sz val="10"/>
        <color indexed="63"/>
        <rFont val="Calibri"/>
        <family val="2"/>
      </rPr>
      <t>Equity Available</t>
    </r>
    <r>
      <rPr>
        <sz val="10"/>
        <color indexed="63"/>
        <rFont val="Calibri"/>
        <family val="2"/>
      </rPr>
      <t xml:space="preserve"> from the equation.  If the resulting LTV will be 
         more than 90%, the field defaults to zero.
This is the highest base loan amount for which the Veteran is eligible as determined by the available entitlement and cash being brought to closing to ensure sufficient guaranty for the loan.
</t>
    </r>
    <r>
      <rPr>
        <b/>
        <i/>
        <sz val="10"/>
        <color indexed="63"/>
        <rFont val="Calibri"/>
        <family val="2"/>
      </rPr>
      <t>Note:</t>
    </r>
    <r>
      <rPr>
        <sz val="10"/>
        <color indexed="63"/>
        <rFont val="Calibri"/>
        <family val="2"/>
      </rPr>
      <t xml:space="preserve"> If the loan amount exceeds the </t>
    </r>
    <r>
      <rPr>
        <i/>
        <sz val="10"/>
        <color indexed="63"/>
        <rFont val="Calibri"/>
        <family val="2"/>
      </rPr>
      <t>County Loan Limit</t>
    </r>
    <r>
      <rPr>
        <sz val="10"/>
        <color indexed="63"/>
        <rFont val="Calibri"/>
        <family val="2"/>
      </rPr>
      <t>, a message will display to remind the user that the loan must be submitted under the VA Jumbo program.</t>
    </r>
  </si>
  <si>
    <r>
      <t>This field calculates the</t>
    </r>
    <r>
      <rPr>
        <i/>
        <sz val="10"/>
        <color indexed="63"/>
        <rFont val="Calibri"/>
        <family val="2"/>
      </rPr>
      <t xml:space="preserve"> </t>
    </r>
    <r>
      <rPr>
        <sz val="10"/>
        <color indexed="63"/>
        <rFont val="Calibri"/>
        <family val="2"/>
      </rPr>
      <t xml:space="preserve">Funding Fee using the percentage selected in </t>
    </r>
    <r>
      <rPr>
        <i/>
        <sz val="10"/>
        <color indexed="63"/>
        <rFont val="Calibri"/>
        <family val="2"/>
      </rPr>
      <t>Row A</t>
    </r>
    <r>
      <rPr>
        <sz val="10"/>
        <color indexed="63"/>
        <rFont val="Calibri"/>
        <family val="2"/>
      </rPr>
      <t xml:space="preserve"> and the </t>
    </r>
    <r>
      <rPr>
        <i/>
        <sz val="10"/>
        <color indexed="63"/>
        <rFont val="Calibri"/>
        <family val="2"/>
      </rPr>
      <t>Total Eligible Maximum Base Loan Amount.</t>
    </r>
    <r>
      <rPr>
        <sz val="10"/>
        <color indexed="63"/>
        <rFont val="Calibri"/>
        <family val="2"/>
      </rPr>
      <t xml:space="preserve"> The calculated number is what will be charged for this loan amount, regardless of what amount is financed.
</t>
    </r>
    <r>
      <rPr>
        <b/>
        <i/>
        <sz val="10"/>
        <color indexed="63"/>
        <rFont val="Calibri"/>
        <family val="2"/>
      </rPr>
      <t>Note:</t>
    </r>
    <r>
      <rPr>
        <sz val="10"/>
        <color indexed="63"/>
        <rFont val="Calibri"/>
        <family val="2"/>
      </rPr>
      <t xml:space="preserve"> If an incorrect or invalid Funding Fee percentage is selected based on the transaction type and down payment amount being made, an error message will display instructing the user to select an eligible Fundng Fee percentage in </t>
    </r>
    <r>
      <rPr>
        <i/>
        <sz val="10"/>
        <color indexed="63"/>
        <rFont val="Calibri"/>
        <family val="2"/>
      </rPr>
      <t>Row A.</t>
    </r>
  </si>
  <si>
    <t>Funding Fee Not Eligible For Financing</t>
  </si>
  <si>
    <t>Guaranty Home Mortgage Corporation (GHMC) only permits for lending whole dollar amounts. If the Funding Fee calculates to include cents, those cents are deducted here and must be included in the cash to close from the Veteran.</t>
  </si>
  <si>
    <t>Refinance: Additional Amount of Funding Fee Not Able to be Financed</t>
  </si>
  <si>
    <t>If the maximum base loan amount plus the full Funding Fee exceeds 90% of the appraised value, the amount which cannot be financed in order to limit the total loan amount to 90% will calculate here. The Veteran will be responsible to account for this difference at closing.</t>
  </si>
  <si>
    <t>Maximum Eligible Financed Funding Fee</t>
  </si>
  <si>
    <r>
      <t xml:space="preserve">     •  </t>
    </r>
    <r>
      <rPr>
        <b/>
        <sz val="10"/>
        <color indexed="63"/>
        <rFont val="Calibri"/>
        <family val="2"/>
      </rPr>
      <t>Purchase</t>
    </r>
    <r>
      <rPr>
        <sz val="10"/>
        <color indexed="63"/>
        <rFont val="Calibri"/>
        <family val="2"/>
      </rPr>
      <t xml:space="preserve">: This field will equal the </t>
    </r>
    <r>
      <rPr>
        <i/>
        <sz val="10"/>
        <color indexed="63"/>
        <rFont val="Calibri"/>
        <family val="2"/>
      </rPr>
      <t>Total Funding Fee</t>
    </r>
    <r>
      <rPr>
        <sz val="10"/>
        <color indexed="63"/>
        <rFont val="Calibri"/>
        <family val="2"/>
      </rPr>
      <t xml:space="preserve"> as there are no restrictions
         based on LTV for purchase transactions.
     •  </t>
    </r>
    <r>
      <rPr>
        <b/>
        <sz val="10"/>
        <color indexed="63"/>
        <rFont val="Calibri"/>
        <family val="2"/>
      </rPr>
      <t>Refinance:</t>
    </r>
    <r>
      <rPr>
        <sz val="10"/>
        <color indexed="63"/>
        <rFont val="Calibri"/>
        <family val="2"/>
      </rPr>
      <t xml:space="preserve"> This field will equal the difference between the </t>
    </r>
    <r>
      <rPr>
        <i/>
        <sz val="10"/>
        <color indexed="63"/>
        <rFont val="Calibri"/>
        <family val="2"/>
      </rPr>
      <t>Total Funding Fee</t>
    </r>
    <r>
      <rPr>
        <sz val="10"/>
        <color indexed="63"/>
        <rFont val="Calibri"/>
        <family val="2"/>
      </rPr>
      <t xml:space="preserve"> and
         the amount not able to be financed.</t>
    </r>
  </si>
  <si>
    <t>Total Eligible Final Loan Amount</t>
  </si>
  <si>
    <r>
      <t xml:space="preserve">     •  </t>
    </r>
    <r>
      <rPr>
        <b/>
        <sz val="10"/>
        <color indexed="63"/>
        <rFont val="Calibri"/>
        <family val="2"/>
      </rPr>
      <t>Purchase:</t>
    </r>
    <r>
      <rPr>
        <sz val="10"/>
        <color indexed="63"/>
        <rFont val="Calibri"/>
        <family val="2"/>
      </rPr>
      <t xml:space="preserve"> This field calculates to the </t>
    </r>
    <r>
      <rPr>
        <i/>
        <sz val="10"/>
        <color indexed="63"/>
        <rFont val="Calibri"/>
        <family val="2"/>
      </rPr>
      <t>Maximum Base Loan Amount</t>
    </r>
    <r>
      <rPr>
        <sz val="10"/>
        <color indexed="63"/>
        <rFont val="Calibri"/>
        <family val="2"/>
      </rPr>
      <t xml:space="preserve"> plus the </t>
    </r>
    <r>
      <rPr>
        <i/>
        <sz val="10"/>
        <color indexed="63"/>
        <rFont val="Calibri"/>
        <family val="2"/>
      </rPr>
      <t xml:space="preserve">Total
         Funding Fee.
</t>
    </r>
    <r>
      <rPr>
        <sz val="10"/>
        <color indexed="63"/>
        <rFont val="Calibri"/>
        <family val="2"/>
      </rPr>
      <t xml:space="preserve">     •  </t>
    </r>
    <r>
      <rPr>
        <b/>
        <sz val="10"/>
        <color indexed="63"/>
        <rFont val="Calibri"/>
        <family val="2"/>
      </rPr>
      <t xml:space="preserve">Refinance: </t>
    </r>
    <r>
      <rPr>
        <sz val="10"/>
        <color indexed="63"/>
        <rFont val="Calibri"/>
        <family val="2"/>
      </rPr>
      <t xml:space="preserve">This field calculates to the </t>
    </r>
    <r>
      <rPr>
        <i/>
        <sz val="10"/>
        <color indexed="63"/>
        <rFont val="Calibri"/>
        <family val="2"/>
      </rPr>
      <t>Maximum Base Loan Amount</t>
    </r>
    <r>
      <rPr>
        <sz val="10"/>
        <color indexed="63"/>
        <rFont val="Calibri"/>
        <family val="2"/>
      </rPr>
      <t xml:space="preserve"> plus the
         </t>
    </r>
    <r>
      <rPr>
        <i/>
        <sz val="10"/>
        <color indexed="63"/>
        <rFont val="Calibri"/>
        <family val="2"/>
      </rPr>
      <t>Maximum Eligible Financed Funding Fee.</t>
    </r>
  </si>
  <si>
    <t>VA Funding Fee %s</t>
  </si>
  <si>
    <t>STATE &amp; COUNTY</t>
  </si>
  <si>
    <t>2010 VA LOAN LIMIT</t>
  </si>
  <si>
    <t>State</t>
  </si>
  <si>
    <t>County</t>
  </si>
  <si>
    <t>2011 VA LOAN LIMIT</t>
  </si>
  <si>
    <t>Regional Loan Center</t>
  </si>
  <si>
    <t>2012 VA Limit</t>
  </si>
  <si>
    <t>2012-08 VA Limit</t>
  </si>
  <si>
    <t>2013 VA Limit</t>
  </si>
  <si>
    <t>2014 VA Limit</t>
  </si>
  <si>
    <t>2014-02 VA Limit</t>
  </si>
  <si>
    <t>2015 VA Limit</t>
  </si>
  <si>
    <t>2016 VA Limit</t>
  </si>
  <si>
    <t>2017 VA Limit</t>
  </si>
  <si>
    <t>2018 VA Limit</t>
  </si>
  <si>
    <t>2019 VA Limit</t>
  </si>
  <si>
    <t>2020 VA Limit</t>
  </si>
  <si>
    <t>County Name</t>
  </si>
  <si>
    <t>State Abrev</t>
  </si>
  <si>
    <t>2021 Loan Limit 1 Unit</t>
  </si>
  <si>
    <t>2022 Loan limit 1 unit</t>
  </si>
  <si>
    <t>State &amp; County</t>
  </si>
  <si>
    <t>2022 Loan limit 1 Unit</t>
  </si>
  <si>
    <t>25% of County Loan Limit</t>
  </si>
  <si>
    <t>- COUNTY NOT LISTED -</t>
  </si>
  <si>
    <t>Borrower</t>
  </si>
  <si>
    <t>ALEUTIANS EAST BOROUGH</t>
  </si>
  <si>
    <t>AK</t>
  </si>
  <si>
    <t>25% of County Loan Limit - unrestored entitlement</t>
  </si>
  <si>
    <t>(AK) - ALEUTIANS EAST</t>
  </si>
  <si>
    <t xml:space="preserve">AK </t>
  </si>
  <si>
    <t xml:space="preserve">ALEUTIANS EAST </t>
  </si>
  <si>
    <t xml:space="preserve">DENVER </t>
  </si>
  <si>
    <t>Seller</t>
  </si>
  <si>
    <t xml:space="preserve">ALEUTIANS EAST  </t>
  </si>
  <si>
    <t>ALEUTIANS EAST</t>
  </si>
  <si>
    <t>ALASKA</t>
  </si>
  <si>
    <t>ALEUTIANS WEST CENSUS AREA</t>
  </si>
  <si>
    <t>Refinance</t>
  </si>
  <si>
    <t>Partial Entitlement</t>
  </si>
  <si>
    <t>Maximum Base Loan Amount without down payment</t>
  </si>
  <si>
    <t>(AK) - ALEUTIANS WEST</t>
  </si>
  <si>
    <t xml:space="preserve">ALEUTIANS WEST </t>
  </si>
  <si>
    <t>ALEUTIANS WEST</t>
  </si>
  <si>
    <t>ANCHORAGE MUNICIPALITY</t>
  </si>
  <si>
    <t>(AK) - ANCHORAGE</t>
  </si>
  <si>
    <t xml:space="preserve">ANCHORAGE </t>
  </si>
  <si>
    <t>ANCHORAGE MUNIC</t>
  </si>
  <si>
    <t>ANCHORAGE</t>
  </si>
  <si>
    <t>BETHEL CENSUS AREA</t>
  </si>
  <si>
    <t>(AK) - BETHEL</t>
  </si>
  <si>
    <t xml:space="preserve">BETHEL </t>
  </si>
  <si>
    <t>BETHEL CENSUS A</t>
  </si>
  <si>
    <t>BETHEL</t>
  </si>
  <si>
    <t>BRISTOL BAY BOROUGH</t>
  </si>
  <si>
    <t>(AK) - BRISTOL BAY</t>
  </si>
  <si>
    <t xml:space="preserve">BRISTOL BAY </t>
  </si>
  <si>
    <t>BRISTOL BAY BOR</t>
  </si>
  <si>
    <t>BRISTOL BAY</t>
  </si>
  <si>
    <t>CHUGACH CENSUS AREA</t>
  </si>
  <si>
    <t>(AK) - DENALI</t>
  </si>
  <si>
    <t xml:space="preserve">DENALI </t>
  </si>
  <si>
    <t>DENALI BOROUGH</t>
  </si>
  <si>
    <t>DENALI</t>
  </si>
  <si>
    <t>COPPER RIVER CENSUS AREA</t>
  </si>
  <si>
    <t>Purch Final Loan amt &gt;144000</t>
  </si>
  <si>
    <t>(AK) - DILLINGHAM</t>
  </si>
  <si>
    <t>DILLINGHAM</t>
  </si>
  <si>
    <t xml:space="preserve">DILLINGHAM </t>
  </si>
  <si>
    <t>DILLINGHAM CENS</t>
  </si>
  <si>
    <t>DILLINGHAM CENSUS AREA</t>
  </si>
  <si>
    <t>RefifinalLoan amt&lt; 90%LTV</t>
  </si>
  <si>
    <t>(AK) - FAIRBANKS NORTH</t>
  </si>
  <si>
    <t xml:space="preserve">FAIRBANKS NORTH </t>
  </si>
  <si>
    <t>FAIRBANKS NORTH</t>
  </si>
  <si>
    <t>FAIRBANKS NORTH STAR BOROUGH</t>
  </si>
  <si>
    <t>RefifinalLoan amt&gt; 90%LTV</t>
  </si>
  <si>
    <t>(AK) - HAINES</t>
  </si>
  <si>
    <t xml:space="preserve">HAINES </t>
  </si>
  <si>
    <t>HAINES BOROUGH</t>
  </si>
  <si>
    <t>HAINES</t>
  </si>
  <si>
    <t>90% LTV</t>
  </si>
  <si>
    <t>(AK) - JUNEAU</t>
  </si>
  <si>
    <t xml:space="preserve">HOONAH-ANGOON </t>
  </si>
  <si>
    <t xml:space="preserve">HOONAH-ANGOON C </t>
  </si>
  <si>
    <t>HOONAH-ANGOON C</t>
  </si>
  <si>
    <t>HOONAH-ANGOON CENSUS AREA</t>
  </si>
  <si>
    <t>(AK) - KENAI PENINSULA</t>
  </si>
  <si>
    <t xml:space="preserve">JUNEAU </t>
  </si>
  <si>
    <t>JUNEAU CITY AND</t>
  </si>
  <si>
    <t>JUNEAU</t>
  </si>
  <si>
    <t>JUNEAU CITY AND BOROUGH</t>
  </si>
  <si>
    <t>(AK) - KETCHIKAN GATEWAY</t>
  </si>
  <si>
    <t xml:space="preserve">KENAI PENINSULA </t>
  </si>
  <si>
    <t>KENAI PENINSULA</t>
  </si>
  <si>
    <t>KENAI PENINSULA BOROUGH</t>
  </si>
  <si>
    <t>(AK) - KODIAK ISLAND</t>
  </si>
  <si>
    <t xml:space="preserve">KETCHIKAN GATEWAY </t>
  </si>
  <si>
    <t xml:space="preserve">KETCHIKAN GATEW </t>
  </si>
  <si>
    <t>KETCHIKAN GATEW</t>
  </si>
  <si>
    <t>KETCHIKAN GATEWAY BOROUGH</t>
  </si>
  <si>
    <t>(AK) - LAKE AND PENINSULA</t>
  </si>
  <si>
    <t xml:space="preserve">KODIAK ISLAND </t>
  </si>
  <si>
    <t>KODIAK ISLAND B</t>
  </si>
  <si>
    <t>KODIAK ISLAND</t>
  </si>
  <si>
    <t>KODIAK ISLAND BOROUGH</t>
  </si>
  <si>
    <t>(AK) - MATANUSKA-SUSITNA</t>
  </si>
  <si>
    <t xml:space="preserve">LAKE AND PENINSULA </t>
  </si>
  <si>
    <t xml:space="preserve">LAKE AND PENINS </t>
  </si>
  <si>
    <t>LAKE AND PENINS</t>
  </si>
  <si>
    <t>KUSILVAK</t>
  </si>
  <si>
    <t>KUSILVAK CENSUS AREA</t>
  </si>
  <si>
    <t>(AK) - NOME</t>
  </si>
  <si>
    <t xml:space="preserve">MATANUSKA-SUSITNA </t>
  </si>
  <si>
    <t xml:space="preserve">MATANUSKA-SUSIT </t>
  </si>
  <si>
    <t>MATANUSKA-SUSIT</t>
  </si>
  <si>
    <t>LAKE AND PENINSULA BOROUGH</t>
  </si>
  <si>
    <t>(AK) - NORTH SLOPE</t>
  </si>
  <si>
    <t xml:space="preserve">NOME </t>
  </si>
  <si>
    <t>NOME CENSUS ARE</t>
  </si>
  <si>
    <t>NOME</t>
  </si>
  <si>
    <t>MATANUSKA-SUSITNA BOROUGH</t>
  </si>
  <si>
    <t>(AK) - NORTHWEST ARCTIC</t>
  </si>
  <si>
    <t xml:space="preserve">NORTH SLOPE </t>
  </si>
  <si>
    <t>NORTH SLOPE BOR</t>
  </si>
  <si>
    <t>NORTH SLOPE</t>
  </si>
  <si>
    <t>NOME CENSUS AREA</t>
  </si>
  <si>
    <t>(AK) - PRINCE OF WALES</t>
  </si>
  <si>
    <t xml:space="preserve">NORTHWEST ARCTIC </t>
  </si>
  <si>
    <t xml:space="preserve">NORTHWEST ARCTI </t>
  </si>
  <si>
    <t>NORTHWEST ARCTI</t>
  </si>
  <si>
    <t>NORTH SLOPE BOROUGH</t>
  </si>
  <si>
    <t>(AK) - SITKA</t>
  </si>
  <si>
    <t xml:space="preserve">PETERSBURG </t>
  </si>
  <si>
    <t xml:space="preserve">PETERSBURG CENS </t>
  </si>
  <si>
    <t>PETERSBURG CENS</t>
  </si>
  <si>
    <t>NORTHWEST ARCTIC BOROUGH</t>
  </si>
  <si>
    <t>(AK) - SKAGWAY-HOONAH-ANGOO</t>
  </si>
  <si>
    <t xml:space="preserve">PRINCE OF WALES-HYDER </t>
  </si>
  <si>
    <t xml:space="preserve">PRINCE OF WALES </t>
  </si>
  <si>
    <t>PRINCE OF WALES</t>
  </si>
  <si>
    <t>PETERSBURG CENSUS AREA</t>
  </si>
  <si>
    <t>(AK) - SOUTHEAST FAIRBANKS</t>
  </si>
  <si>
    <t xml:space="preserve">SITKA </t>
  </si>
  <si>
    <t>SITKA CITY AND</t>
  </si>
  <si>
    <t>SITKA</t>
  </si>
  <si>
    <t>PRINCE OF WALES-HYDER CENSUS AREA</t>
  </si>
  <si>
    <t>(AK) - VALDEZ-CORDOVA</t>
  </si>
  <si>
    <t xml:space="preserve">SKAGWAY MUNICIPALITY </t>
  </si>
  <si>
    <t xml:space="preserve">SKAGWAY MUNICIP </t>
  </si>
  <si>
    <t>SKAGWAY MUNICIP</t>
  </si>
  <si>
    <t>SITKA CITY AND BOROUGH</t>
  </si>
  <si>
    <t>(AK) - WADE HAMPTON</t>
  </si>
  <si>
    <t xml:space="preserve">SOUTHEAST FAIRBANKS </t>
  </si>
  <si>
    <t xml:space="preserve">SOUTHEAST FAIRB </t>
  </si>
  <si>
    <t>SOUTHEAST FAIRB</t>
  </si>
  <si>
    <t>SKAGWAY MUNICIPALITY</t>
  </si>
  <si>
    <t>(AK) - WRANGELL-PETERS</t>
  </si>
  <si>
    <t xml:space="preserve">VALDEZ-CORDOVA </t>
  </si>
  <si>
    <t>VALDEZ-CORDOVA</t>
  </si>
  <si>
    <t>SOUTHEAST FAIRBANKS CENSUS AREA</t>
  </si>
  <si>
    <t>(AK) - YAKUTAT CITY</t>
  </si>
  <si>
    <t xml:space="preserve">WADE HAMPTON </t>
  </si>
  <si>
    <t>WADE HAMPTON CE</t>
  </si>
  <si>
    <t>WADE HAMPTON</t>
  </si>
  <si>
    <t>VALDEZ-CORDOVA CENSUS AREA</t>
  </si>
  <si>
    <t>(AK) - YUKON-KOYUKUK</t>
  </si>
  <si>
    <t xml:space="preserve">WRANGELL CITY/BOROUGH </t>
  </si>
  <si>
    <t xml:space="preserve">WRANGELL CITY A </t>
  </si>
  <si>
    <t>WRANGELL CITY A</t>
  </si>
  <si>
    <t>WRANGELL CITY AND BOROUGH</t>
  </si>
  <si>
    <t>(CA) - ALAMEDA</t>
  </si>
  <si>
    <t xml:space="preserve">YAKUTAT CITY </t>
  </si>
  <si>
    <t>YAKUTAT CITY AN</t>
  </si>
  <si>
    <t>YAKUTAT CITY</t>
  </si>
  <si>
    <t>YAKUTAT CITY AND BOROUGH</t>
  </si>
  <si>
    <t>(CA) - CONTRA COSTA</t>
  </si>
  <si>
    <t xml:space="preserve">YUKON-KOYUKUK </t>
  </si>
  <si>
    <t>YUKON-KOYUKUK C</t>
  </si>
  <si>
    <t>YUKON-KOYUKUK</t>
  </si>
  <si>
    <t>YUKON-KOYUKUK CENSUS AREA</t>
  </si>
  <si>
    <t>(CA) - EL DORADO</t>
  </si>
  <si>
    <t xml:space="preserve">CA </t>
  </si>
  <si>
    <t xml:space="preserve">ALAMEDA </t>
  </si>
  <si>
    <t xml:space="preserve">PHOENIX </t>
  </si>
  <si>
    <t>CA</t>
  </si>
  <si>
    <t>ALAMEDA COUNTY</t>
  </si>
  <si>
    <t>ALAMEDA</t>
  </si>
  <si>
    <t>CALIFORNIA</t>
  </si>
  <si>
    <t>(CA) - LOS ANGELES</t>
  </si>
  <si>
    <t xml:space="preserve">ALPINE </t>
  </si>
  <si>
    <t xml:space="preserve">CONTRA COSTA </t>
  </si>
  <si>
    <t>CONTRA COSTA CO</t>
  </si>
  <si>
    <t>ALPINE</t>
  </si>
  <si>
    <t>CONTRA COSTA</t>
  </si>
  <si>
    <t>CONTRA COSTA COUNTY</t>
  </si>
  <si>
    <t>(CA) - MARIN</t>
  </si>
  <si>
    <t xml:space="preserve">LOS ANGELES </t>
  </si>
  <si>
    <t>EL DORADO</t>
  </si>
  <si>
    <t xml:space="preserve">EL DORADO </t>
  </si>
  <si>
    <t>EL DORADO COUNTY</t>
  </si>
  <si>
    <t>(CA) - MONO</t>
  </si>
  <si>
    <t xml:space="preserve">MARIN </t>
  </si>
  <si>
    <t>LOS ANGELES COUNTY</t>
  </si>
  <si>
    <t>LOS ANGELES</t>
  </si>
  <si>
    <t>(CA) - NAPA</t>
  </si>
  <si>
    <t xml:space="preserve">NAPA </t>
  </si>
  <si>
    <t xml:space="preserve">MONTEREY </t>
  </si>
  <si>
    <t xml:space="preserve">MONO </t>
  </si>
  <si>
    <t>MARIN</t>
  </si>
  <si>
    <t>MARIN COUNTY</t>
  </si>
  <si>
    <t>(CA) - NEVADA</t>
  </si>
  <si>
    <t>MONTEREY</t>
  </si>
  <si>
    <t xml:space="preserve">ORANGE </t>
  </si>
  <si>
    <t>MONO</t>
  </si>
  <si>
    <t>MONTEREY COUNTY</t>
  </si>
  <si>
    <t>(CA) - ORANGE</t>
  </si>
  <si>
    <t xml:space="preserve">SAN BENITO </t>
  </si>
  <si>
    <t>NAPA</t>
  </si>
  <si>
    <t>NAPA COUNTY</t>
  </si>
  <si>
    <t>(CA) - PLACER</t>
  </si>
  <si>
    <t xml:space="preserve">NEVADA </t>
  </si>
  <si>
    <t xml:space="preserve">SAN DIEGO </t>
  </si>
  <si>
    <t>ORANGE</t>
  </si>
  <si>
    <t>ORANGE COUNTY</t>
  </si>
  <si>
    <t>(CA) - SACRAMENTO</t>
  </si>
  <si>
    <t xml:space="preserve">SAN FRANCISCO </t>
  </si>
  <si>
    <t>PLACER</t>
  </si>
  <si>
    <t>NEVADA</t>
  </si>
  <si>
    <t>PLACER COUNTY</t>
  </si>
  <si>
    <t>(CA) - SAN BENITO</t>
  </si>
  <si>
    <t xml:space="preserve">SAN LUIS OBISPO </t>
  </si>
  <si>
    <t>SACRAMENTO</t>
  </si>
  <si>
    <t xml:space="preserve">PLACER </t>
  </si>
  <si>
    <t>SACRAMENTO COUNTY</t>
  </si>
  <si>
    <t>(CA) - SAN DIEGO</t>
  </si>
  <si>
    <t xml:space="preserve">SAN MATEO </t>
  </si>
  <si>
    <t>SAN BENITO</t>
  </si>
  <si>
    <t xml:space="preserve">SACRAMENTO </t>
  </si>
  <si>
    <t>SAN BENITO COUNTY</t>
  </si>
  <si>
    <t>(CA) - SAN FRANCISCO</t>
  </si>
  <si>
    <t xml:space="preserve">SANTA BARBARA </t>
  </si>
  <si>
    <t>SAN DIEGO</t>
  </si>
  <si>
    <t>SAN DIEGO COUNTY</t>
  </si>
  <si>
    <t>(CA) - SAN LUIS OBISPO</t>
  </si>
  <si>
    <t xml:space="preserve">SANTA CLARA </t>
  </si>
  <si>
    <t>SAN FRANCISCO</t>
  </si>
  <si>
    <t>SAN FRANCISCO COUNTY</t>
  </si>
  <si>
    <t>(CA) - SAN MATEO</t>
  </si>
  <si>
    <t xml:space="preserve">SANTA CRUZ </t>
  </si>
  <si>
    <t>SAN LUIS OBISPO</t>
  </si>
  <si>
    <t>SAN LUIS OBISPO COUNTY</t>
  </si>
  <si>
    <t>(CA) - SANTA CLARA</t>
  </si>
  <si>
    <t xml:space="preserve">SONOMA </t>
  </si>
  <si>
    <t>SAN MATEO</t>
  </si>
  <si>
    <t>SAN MATEO COUNTY</t>
  </si>
  <si>
    <t>(CA) - SANTA CRUZ</t>
  </si>
  <si>
    <t xml:space="preserve">VENTURA </t>
  </si>
  <si>
    <t>SANTA BARBARA</t>
  </si>
  <si>
    <t>SANTA BARBARA COUNTY</t>
  </si>
  <si>
    <t>(CA) - VENTURA</t>
  </si>
  <si>
    <t>CO</t>
  </si>
  <si>
    <t xml:space="preserve">EAGLE </t>
  </si>
  <si>
    <t>SANTA CLARA</t>
  </si>
  <si>
    <t>SANTA CLARA COUNTY</t>
  </si>
  <si>
    <t>(CA) - YOLO</t>
  </si>
  <si>
    <t xml:space="preserve">LAKE </t>
  </si>
  <si>
    <t xml:space="preserve">BOULDER </t>
  </si>
  <si>
    <t>SANTA CRUZ</t>
  </si>
  <si>
    <t>SANTA CRUZ COUNTY</t>
  </si>
  <si>
    <t>(CO) - EAGLE</t>
  </si>
  <si>
    <t xml:space="preserve">PITKIN </t>
  </si>
  <si>
    <t>SONOMA</t>
  </si>
  <si>
    <t>SOLANO COUNTY</t>
  </si>
  <si>
    <t>SONOMA COUNTY</t>
  </si>
  <si>
    <t>(CO) - HINSDALE</t>
  </si>
  <si>
    <t xml:space="preserve">CO </t>
  </si>
  <si>
    <t xml:space="preserve">ROUTT </t>
  </si>
  <si>
    <t>VENTURA</t>
  </si>
  <si>
    <t>VENTURA COUNTY</t>
  </si>
  <si>
    <t>(CO) - LAKE</t>
  </si>
  <si>
    <t xml:space="preserve">SAN MIGUEL </t>
  </si>
  <si>
    <t>YOLO</t>
  </si>
  <si>
    <t>SOLANO</t>
  </si>
  <si>
    <t>YOLO COUNTY</t>
  </si>
  <si>
    <t>(CO) - OURAY</t>
  </si>
  <si>
    <t xml:space="preserve">SUMMIT </t>
  </si>
  <si>
    <t>ADAMS</t>
  </si>
  <si>
    <t xml:space="preserve">YOLO </t>
  </si>
  <si>
    <t>ADAMS COUNTY</t>
  </si>
  <si>
    <t>(CO) - PITKIN</t>
  </si>
  <si>
    <t>CT</t>
  </si>
  <si>
    <t xml:space="preserve">FAIRFIELD </t>
  </si>
  <si>
    <t>ARAPAHOE</t>
  </si>
  <si>
    <t xml:space="preserve">ADAMS </t>
  </si>
  <si>
    <t>COLORADO</t>
  </si>
  <si>
    <t>ARAPAHOE COUNTY</t>
  </si>
  <si>
    <t>(CO) - ROUTT</t>
  </si>
  <si>
    <t>DC</t>
  </si>
  <si>
    <t xml:space="preserve">DISTRICT OF COLUMBIA </t>
  </si>
  <si>
    <t>BOULDER</t>
  </si>
  <si>
    <t xml:space="preserve">ARAPAHOE </t>
  </si>
  <si>
    <t>BOULDER COUNTY</t>
  </si>
  <si>
    <t>(CO) - SAN MIGUEL</t>
  </si>
  <si>
    <t>GU</t>
  </si>
  <si>
    <t xml:space="preserve">GUAM </t>
  </si>
  <si>
    <t>BROOMFIELD</t>
  </si>
  <si>
    <t>BROOMFIELD COUNTY</t>
  </si>
  <si>
    <t>(CO) - SUMMIT</t>
  </si>
  <si>
    <t>HI</t>
  </si>
  <si>
    <t xml:space="preserve">HAWAII </t>
  </si>
  <si>
    <t xml:space="preserve">DISTRICT OF COL </t>
  </si>
  <si>
    <t>CLEAR CREEK</t>
  </si>
  <si>
    <t xml:space="preserve">BROOMFIELD </t>
  </si>
  <si>
    <t>CLEAR CREEK COUNTY</t>
  </si>
  <si>
    <t>(CT) - FAIRFIELD</t>
  </si>
  <si>
    <t xml:space="preserve">CT </t>
  </si>
  <si>
    <t xml:space="preserve">MANCHESTER </t>
  </si>
  <si>
    <t xml:space="preserve">HONOLULU </t>
  </si>
  <si>
    <t>DENVER</t>
  </si>
  <si>
    <t xml:space="preserve">CLEAR CREEK </t>
  </si>
  <si>
    <t>DENVER COUNTY</t>
  </si>
  <si>
    <t>(DC) - DISTRICT OF COLUMBIA</t>
  </si>
  <si>
    <t xml:space="preserve">DC </t>
  </si>
  <si>
    <t xml:space="preserve">ROANOKE </t>
  </si>
  <si>
    <t xml:space="preserve">KALAWAO </t>
  </si>
  <si>
    <t>DOUGLAS</t>
  </si>
  <si>
    <t>DOUGLAS COUNTY</t>
  </si>
  <si>
    <t>(FL) - MONROE</t>
  </si>
  <si>
    <t xml:space="preserve">FL </t>
  </si>
  <si>
    <t xml:space="preserve">MONROE </t>
  </si>
  <si>
    <t xml:space="preserve">ST. PETERSBURG </t>
  </si>
  <si>
    <t xml:space="preserve">KAUAI </t>
  </si>
  <si>
    <t>EAGLE</t>
  </si>
  <si>
    <t xml:space="preserve">DOUGLAS </t>
  </si>
  <si>
    <t>EAGLE COUNTY</t>
  </si>
  <si>
    <t>(GA) - GREENE</t>
  </si>
  <si>
    <t xml:space="preserve">GU </t>
  </si>
  <si>
    <t xml:space="preserve">MAUI </t>
  </si>
  <si>
    <t>ELBERT</t>
  </si>
  <si>
    <t>ELBERT COUNTY</t>
  </si>
  <si>
    <t>(GU) - GUAM</t>
  </si>
  <si>
    <t xml:space="preserve">HI </t>
  </si>
  <si>
    <t>ID</t>
  </si>
  <si>
    <t xml:space="preserve">TETON </t>
  </si>
  <si>
    <t>GARFIELD</t>
  </si>
  <si>
    <t xml:space="preserve">ELBERT </t>
  </si>
  <si>
    <t>GARFIELD COUNTY</t>
  </si>
  <si>
    <t>(HI) - HAWAII</t>
  </si>
  <si>
    <t>MA</t>
  </si>
  <si>
    <t xml:space="preserve">DUKES </t>
  </si>
  <si>
    <t>GILPIN</t>
  </si>
  <si>
    <t xml:space="preserve">GARFIELD </t>
  </si>
  <si>
    <t>GILPIN COUNTY</t>
  </si>
  <si>
    <t>(HI) - HONOLULU</t>
  </si>
  <si>
    <t xml:space="preserve">ESSEX </t>
  </si>
  <si>
    <t xml:space="preserve">BLAINE </t>
  </si>
  <si>
    <t>JEFFERSON</t>
  </si>
  <si>
    <t xml:space="preserve">GILPIN </t>
  </si>
  <si>
    <t>JEFFERSON COUNTY</t>
  </si>
  <si>
    <t>(HI) - KALAWAO</t>
  </si>
  <si>
    <t xml:space="preserve">MIDDLESEX </t>
  </si>
  <si>
    <t>PARK</t>
  </si>
  <si>
    <t xml:space="preserve">JEFFERSON </t>
  </si>
  <si>
    <t>PARK COUNTY</t>
  </si>
  <si>
    <t>(HI) - KAUAI</t>
  </si>
  <si>
    <t xml:space="preserve">NANTUCKET </t>
  </si>
  <si>
    <t xml:space="preserve">BRISTOL </t>
  </si>
  <si>
    <t>PITKIN</t>
  </si>
  <si>
    <t>LAKE COUNTY</t>
  </si>
  <si>
    <t>PITKIN COUNTY</t>
  </si>
  <si>
    <t>(HI) - MAUI</t>
  </si>
  <si>
    <t xml:space="preserve">ID </t>
  </si>
  <si>
    <t xml:space="preserve">NORFOLK </t>
  </si>
  <si>
    <t>ROUTT</t>
  </si>
  <si>
    <t>HINSDALE</t>
  </si>
  <si>
    <t xml:space="preserve">PARK </t>
  </si>
  <si>
    <t>ROUTT COUNTY</t>
  </si>
  <si>
    <t>(ID) - TETON</t>
  </si>
  <si>
    <t xml:space="preserve">PLYMOUTH </t>
  </si>
  <si>
    <t>SUMMIT</t>
  </si>
  <si>
    <t>LAKE</t>
  </si>
  <si>
    <t>SAN MIGUEL COUNTY</t>
  </si>
  <si>
    <t>(MA) - DUKES</t>
  </si>
  <si>
    <t xml:space="preserve">MA </t>
  </si>
  <si>
    <t xml:space="preserve">BARNSTABLE </t>
  </si>
  <si>
    <t xml:space="preserve">SUFFOLK </t>
  </si>
  <si>
    <t>FAIRFIELD</t>
  </si>
  <si>
    <t>SUMMIT COUNTY</t>
  </si>
  <si>
    <t>(MA) - ESSEX</t>
  </si>
  <si>
    <t>MD</t>
  </si>
  <si>
    <t xml:space="preserve">ANNE ARUNDEL </t>
  </si>
  <si>
    <t>DISTRICT OF COLUMBIA</t>
  </si>
  <si>
    <t>OURAY</t>
  </si>
  <si>
    <t>FAIRFIELD COUNTY</t>
  </si>
  <si>
    <t>(MA) - MIDDLESEX</t>
  </si>
  <si>
    <t xml:space="preserve">BALTIMORE </t>
  </si>
  <si>
    <t>FL</t>
  </si>
  <si>
    <t>MONROE COUNTY</t>
  </si>
  <si>
    <t>(MA) - NANTUCKET</t>
  </si>
  <si>
    <t>MIDDLESEX</t>
  </si>
  <si>
    <t xml:space="preserve">BALTIMORE CITY </t>
  </si>
  <si>
    <t>GUAM</t>
  </si>
  <si>
    <t>SAN MIGUEL</t>
  </si>
  <si>
    <t>CONNECTICUT</t>
  </si>
  <si>
    <t>HAWAII COUNTY</t>
  </si>
  <si>
    <t>(MA) - NORFOLK</t>
  </si>
  <si>
    <t xml:space="preserve">CALVERT </t>
  </si>
  <si>
    <t>HAWAII</t>
  </si>
  <si>
    <t>HONOLULU COUNTY</t>
  </si>
  <si>
    <t>(MA) - PLYMOUTH</t>
  </si>
  <si>
    <t xml:space="preserve">CARROLL </t>
  </si>
  <si>
    <t>HONOLULU</t>
  </si>
  <si>
    <t>FLORIDA</t>
  </si>
  <si>
    <t>KALAWAO COUNTY</t>
  </si>
  <si>
    <t>(MA) - SUFFOLK</t>
  </si>
  <si>
    <t xml:space="preserve">CHARLES </t>
  </si>
  <si>
    <t>KALAWAO</t>
  </si>
  <si>
    <t>DISTRICT OF COL</t>
  </si>
  <si>
    <t xml:space="preserve">GREENE </t>
  </si>
  <si>
    <t>GA</t>
  </si>
  <si>
    <t>KAUAI COUNTY</t>
  </si>
  <si>
    <t>(MD) - ANNE ARUNDEL</t>
  </si>
  <si>
    <t xml:space="preserve">FREDERICK </t>
  </si>
  <si>
    <t>KAUAI</t>
  </si>
  <si>
    <t>MONROE</t>
  </si>
  <si>
    <t>MAUI COUNTY</t>
  </si>
  <si>
    <t>(MD) - BALTIMORE</t>
  </si>
  <si>
    <t xml:space="preserve">MD </t>
  </si>
  <si>
    <t xml:space="preserve">HARFORD </t>
  </si>
  <si>
    <t>MAUI</t>
  </si>
  <si>
    <t>GREENE</t>
  </si>
  <si>
    <t>BLAINE COUNTY</t>
  </si>
  <si>
    <t>(MD) - BALTIMORE CITY</t>
  </si>
  <si>
    <t>BALTIMORE</t>
  </si>
  <si>
    <t xml:space="preserve">HOWARD </t>
  </si>
  <si>
    <t>TETON COUNTY</t>
  </si>
  <si>
    <t>COLLIER</t>
  </si>
  <si>
    <t>CAMAS COUNTY</t>
  </si>
  <si>
    <t>(MD) - CALVERT</t>
  </si>
  <si>
    <t xml:space="preserve">MONTGOMERY </t>
  </si>
  <si>
    <t>BRISTOL</t>
  </si>
  <si>
    <t>(MD) - CARROLL</t>
  </si>
  <si>
    <t xml:space="preserve">PRINCE GEORGE'S </t>
  </si>
  <si>
    <t>DUKES</t>
  </si>
  <si>
    <t>IDAHO</t>
  </si>
  <si>
    <t>CALVERT COUNTY</t>
  </si>
  <si>
    <t>(MD) - CHARLES</t>
  </si>
  <si>
    <t xml:space="preserve">QUEEN ANNE'S </t>
  </si>
  <si>
    <t>ESSEX</t>
  </si>
  <si>
    <t>CHARLES COUNTY</t>
  </si>
  <si>
    <t>(MD) - FREDERICK</t>
  </si>
  <si>
    <t>NH</t>
  </si>
  <si>
    <t xml:space="preserve">ROCKINGHAM </t>
  </si>
  <si>
    <t xml:space="preserve">CAMAS </t>
  </si>
  <si>
    <t>LINCOLN COUNTY</t>
  </si>
  <si>
    <t>FREDERICK COUNTY</t>
  </si>
  <si>
    <t>(MD) - HARFORD</t>
  </si>
  <si>
    <t>FREDERICK</t>
  </si>
  <si>
    <t xml:space="preserve">STRAFFORD </t>
  </si>
  <si>
    <t>NANTUCKET</t>
  </si>
  <si>
    <t>BLAINE</t>
  </si>
  <si>
    <t xml:space="preserve">LINCOLN </t>
  </si>
  <si>
    <t>MONTGOMERY COUNTY</t>
  </si>
  <si>
    <t>(MD) - HOWARD</t>
  </si>
  <si>
    <t>NJ</t>
  </si>
  <si>
    <t xml:space="preserve">BERGEN </t>
  </si>
  <si>
    <t>NORFOLK</t>
  </si>
  <si>
    <t>CAMAS</t>
  </si>
  <si>
    <t>MARYLAND</t>
  </si>
  <si>
    <t>PRINCE GEORGE'S COUNTY</t>
  </si>
  <si>
    <t>(MD) - MONTGOMERY</t>
  </si>
  <si>
    <t>PLYMOUTH</t>
  </si>
  <si>
    <t>LINCOLN</t>
  </si>
  <si>
    <t>DUKES COUNTY</t>
  </si>
  <si>
    <t>(MD) - PRINCE GEORGE'S</t>
  </si>
  <si>
    <t xml:space="preserve">HUDSON </t>
  </si>
  <si>
    <t>SUFFOLK</t>
  </si>
  <si>
    <t>TETON</t>
  </si>
  <si>
    <t>ESSEX COUNTY</t>
  </si>
  <si>
    <t>(MD) - QUEEN ANNE'S</t>
  </si>
  <si>
    <t xml:space="preserve">HUNTERDON </t>
  </si>
  <si>
    <t>ANNE ARUNDEL</t>
  </si>
  <si>
    <t>MIDDLESEX COUNTY</t>
  </si>
  <si>
    <t>(MP) - NORTHERN ISLAND</t>
  </si>
  <si>
    <t>NANTUCKET COUNTY</t>
  </si>
  <si>
    <t>(MP) - ROTA</t>
  </si>
  <si>
    <t xml:space="preserve">MP </t>
  </si>
  <si>
    <t xml:space="preserve">NORTHERN ISLAND </t>
  </si>
  <si>
    <t xml:space="preserve">MONMOUTH </t>
  </si>
  <si>
    <t>BALTIMORE CITY</t>
  </si>
  <si>
    <t>CALVERT</t>
  </si>
  <si>
    <t>MASSACHUSETTS</t>
  </si>
  <si>
    <t>NORFOLK COUNTY</t>
  </si>
  <si>
    <t>(MP) - SAIPAN</t>
  </si>
  <si>
    <t xml:space="preserve">SAIPAN </t>
  </si>
  <si>
    <t xml:space="preserve">MORRIS </t>
  </si>
  <si>
    <t>CARROLL</t>
  </si>
  <si>
    <t>PLYMOUTH COUNTY</t>
  </si>
  <si>
    <t>(MP) - TINIAN</t>
  </si>
  <si>
    <t xml:space="preserve">TINIAN </t>
  </si>
  <si>
    <t xml:space="preserve">OCEAN </t>
  </si>
  <si>
    <t>CHARLES</t>
  </si>
  <si>
    <t>SUFFOLK COUNTY</t>
  </si>
  <si>
    <t>(NC) - CAMDEN</t>
  </si>
  <si>
    <t xml:space="preserve">NC </t>
  </si>
  <si>
    <t xml:space="preserve">CAMDEN </t>
  </si>
  <si>
    <t xml:space="preserve">ATLANTA </t>
  </si>
  <si>
    <t xml:space="preserve">PASSAIC </t>
  </si>
  <si>
    <t>ROCKINGHAM COUNTY</t>
  </si>
  <si>
    <t>(NC) - CURRITUCK</t>
  </si>
  <si>
    <t xml:space="preserve">PASQUOTANK </t>
  </si>
  <si>
    <t xml:space="preserve">SOMERSET </t>
  </si>
  <si>
    <t>HARFORD</t>
  </si>
  <si>
    <t>STRAFFORD COUNTY</t>
  </si>
  <si>
    <t>(NC) - PASQUOTANK</t>
  </si>
  <si>
    <t xml:space="preserve">PERQUIMANS </t>
  </si>
  <si>
    <t xml:space="preserve">SUSSEX </t>
  </si>
  <si>
    <t>HOWARD</t>
  </si>
  <si>
    <t>BERGEN COUNTY</t>
  </si>
  <si>
    <t>(NC) - PERQUIMANS</t>
  </si>
  <si>
    <t xml:space="preserve">NH </t>
  </si>
  <si>
    <t xml:space="preserve">UNION </t>
  </si>
  <si>
    <t>MONTGOMERY</t>
  </si>
  <si>
    <t>(NH) - ROCKINGHAM</t>
  </si>
  <si>
    <t>NY</t>
  </si>
  <si>
    <t xml:space="preserve">BRONX </t>
  </si>
  <si>
    <t>PRINCE GEORGE'S</t>
  </si>
  <si>
    <t>NEW HAMPSHIRE</t>
  </si>
  <si>
    <t>HUDSON COUNTY</t>
  </si>
  <si>
    <t>(NH) - STRAFFORD</t>
  </si>
  <si>
    <t xml:space="preserve">NJ </t>
  </si>
  <si>
    <t xml:space="preserve">CLEVELAND </t>
  </si>
  <si>
    <t xml:space="preserve">KINGS </t>
  </si>
  <si>
    <t>QUEEN ANNE'S</t>
  </si>
  <si>
    <t>HUNTERDON COUNTY</t>
  </si>
  <si>
    <t>(NJ) - BERGEN</t>
  </si>
  <si>
    <t xml:space="preserve">NASSAU </t>
  </si>
  <si>
    <t>NEW JERSEY</t>
  </si>
  <si>
    <t>(NJ) - ESSEX</t>
  </si>
  <si>
    <t xml:space="preserve">NEW YORK </t>
  </si>
  <si>
    <t>MP</t>
  </si>
  <si>
    <t>ANA ISLANDSTINIAN MUNICIPA</t>
  </si>
  <si>
    <t>MONMOUTH COUNTY</t>
  </si>
  <si>
    <t>(NJ) - HUDSON</t>
  </si>
  <si>
    <t xml:space="preserve">PUTNAM </t>
  </si>
  <si>
    <t>ROCKINGHAM</t>
  </si>
  <si>
    <t>MORRIS COUNTY</t>
  </si>
  <si>
    <t>(NJ) - HUNTERDON</t>
  </si>
  <si>
    <t xml:space="preserve">QUEENS </t>
  </si>
  <si>
    <t>STRAFFORD</t>
  </si>
  <si>
    <t>OCEAN COUNTY</t>
  </si>
  <si>
    <t>(NJ) - MIDDLESEX</t>
  </si>
  <si>
    <t xml:space="preserve">RICHMOND </t>
  </si>
  <si>
    <t>BERGEN</t>
  </si>
  <si>
    <t>PASSAIC COUNTY</t>
  </si>
  <si>
    <t>(NJ) - MONMOUTH</t>
  </si>
  <si>
    <t xml:space="preserve">ROCKLAND </t>
  </si>
  <si>
    <t>NORTHERN ISLAND</t>
  </si>
  <si>
    <t>SOMERSET COUNTY</t>
  </si>
  <si>
    <t>(NJ) - MORRIS</t>
  </si>
  <si>
    <t>HUDSON</t>
  </si>
  <si>
    <t>SAIPAN</t>
  </si>
  <si>
    <t>SUSSEX COUNTY</t>
  </si>
  <si>
    <t>(NJ) - OCEAN</t>
  </si>
  <si>
    <t xml:space="preserve">WESTCHESTER </t>
  </si>
  <si>
    <t>HUNTERDON</t>
  </si>
  <si>
    <t>TINIAN</t>
  </si>
  <si>
    <t>UNION COUNTY</t>
  </si>
  <si>
    <t>(NJ) - PASSAIC</t>
  </si>
  <si>
    <t>PA</t>
  </si>
  <si>
    <t xml:space="preserve">PIKE </t>
  </si>
  <si>
    <t>BRONX COUNTY</t>
  </si>
  <si>
    <t>(NJ) - SOMERSET</t>
  </si>
  <si>
    <t>UT</t>
  </si>
  <si>
    <t xml:space="preserve">SALT LAKE </t>
  </si>
  <si>
    <t>MONMOUTH</t>
  </si>
  <si>
    <t>DUTCHESS COUNTY</t>
  </si>
  <si>
    <t>(NJ) - SUSSEX</t>
  </si>
  <si>
    <t>MORRIS</t>
  </si>
  <si>
    <t>KINGS COUNTY</t>
  </si>
  <si>
    <t>(NJ) - UNION</t>
  </si>
  <si>
    <t xml:space="preserve">NY </t>
  </si>
  <si>
    <t xml:space="preserve">TOOELE </t>
  </si>
  <si>
    <t>OCEAN</t>
  </si>
  <si>
    <t>NASSAU COUNTY</t>
  </si>
  <si>
    <t>(NY) - BRONX</t>
  </si>
  <si>
    <t>VA</t>
  </si>
  <si>
    <t xml:space="preserve">ALEXANDRIA </t>
  </si>
  <si>
    <t>PASSAIC</t>
  </si>
  <si>
    <t>NEW YORK</t>
  </si>
  <si>
    <t>NEW YORK COUNTY</t>
  </si>
  <si>
    <t>(NY) - KINGS</t>
  </si>
  <si>
    <t xml:space="preserve">ARLINGTON </t>
  </si>
  <si>
    <t>RI</t>
  </si>
  <si>
    <t>SOMERSET</t>
  </si>
  <si>
    <t>ANA ISLANDSNORTHERN ISLAND</t>
  </si>
  <si>
    <t>(NY) - NASSAU</t>
  </si>
  <si>
    <t xml:space="preserve">CLARKE </t>
  </si>
  <si>
    <t xml:space="preserve">KENT </t>
  </si>
  <si>
    <t>SUSSEX</t>
  </si>
  <si>
    <t>PUTNAM COUNTY</t>
  </si>
  <si>
    <t>(NY) - NEW YORK</t>
  </si>
  <si>
    <t xml:space="preserve">FAIRFAX </t>
  </si>
  <si>
    <t xml:space="preserve">NEWPORT </t>
  </si>
  <si>
    <t>UNION</t>
  </si>
  <si>
    <t>ANA ISLANDSSAIPAN MUNICIPA</t>
  </si>
  <si>
    <t>QUEENS COUNTY</t>
  </si>
  <si>
    <t>(NY) - PUTNAM</t>
  </si>
  <si>
    <t xml:space="preserve">FAIRFAX IND </t>
  </si>
  <si>
    <t xml:space="preserve">PROVIDENCE </t>
  </si>
  <si>
    <t>BRONX</t>
  </si>
  <si>
    <t>NC</t>
  </si>
  <si>
    <t>CAMDEN</t>
  </si>
  <si>
    <t>RICHMOND COUNTY</t>
  </si>
  <si>
    <t>(NY) - QUEENS</t>
  </si>
  <si>
    <t xml:space="preserve">FALLS CHURCH </t>
  </si>
  <si>
    <t xml:space="preserve">WASHINGTON </t>
  </si>
  <si>
    <t>DUTCHESS</t>
  </si>
  <si>
    <t>CURRITUCK</t>
  </si>
  <si>
    <t>ROCKLAND COUNTY</t>
  </si>
  <si>
    <t>(NY) - RICHMOND</t>
  </si>
  <si>
    <t xml:space="preserve">FAUQUIER </t>
  </si>
  <si>
    <t>KINGS</t>
  </si>
  <si>
    <t>GATES</t>
  </si>
  <si>
    <t>(NY) - ROCKLAND</t>
  </si>
  <si>
    <t xml:space="preserve">FREDERICKSBURG </t>
  </si>
  <si>
    <t>NASSAU</t>
  </si>
  <si>
    <t>HYDE</t>
  </si>
  <si>
    <t>WESTCHESTER COUNTY</t>
  </si>
  <si>
    <t>(NY) - SUFFOLK</t>
  </si>
  <si>
    <t xml:space="preserve">LOUDOUN </t>
  </si>
  <si>
    <t>PASQUOTANK</t>
  </si>
  <si>
    <t>PIKE COUNTY</t>
  </si>
  <si>
    <t>(NY) - WESTCHESTER</t>
  </si>
  <si>
    <t xml:space="preserve">PA </t>
  </si>
  <si>
    <t xml:space="preserve">MANASSAS </t>
  </si>
  <si>
    <t>PERQUIMANS</t>
  </si>
  <si>
    <t xml:space="preserve">DUTCHESS </t>
  </si>
  <si>
    <t>CANNON COUNTY</t>
  </si>
  <si>
    <t>TN</t>
  </si>
  <si>
    <t>(PA) - PIKE</t>
  </si>
  <si>
    <t xml:space="preserve">UT </t>
  </si>
  <si>
    <t xml:space="preserve">MANASSAS PARK </t>
  </si>
  <si>
    <t>PUTNAM</t>
  </si>
  <si>
    <t>CHEATHAM COUNTY</t>
  </si>
  <si>
    <t>(UT) - SALT LAKE</t>
  </si>
  <si>
    <t xml:space="preserve">PRINCE WILLIAM </t>
  </si>
  <si>
    <t>QUEENS</t>
  </si>
  <si>
    <t>NE</t>
  </si>
  <si>
    <t>DAVIDSON COUNTY</t>
  </si>
  <si>
    <t>(UT) - SUMMIT</t>
  </si>
  <si>
    <t xml:space="preserve">SPOTSYLVANIA </t>
  </si>
  <si>
    <t>RICHMOND</t>
  </si>
  <si>
    <t>LOGAN</t>
  </si>
  <si>
    <t>NORTH CAROLINA</t>
  </si>
  <si>
    <t>CAMDEN COUNTY</t>
  </si>
  <si>
    <t>DICKSON COUNTY</t>
  </si>
  <si>
    <t>(UT) - TOOELE</t>
  </si>
  <si>
    <t xml:space="preserve">VA </t>
  </si>
  <si>
    <t xml:space="preserve">STAFFORD </t>
  </si>
  <si>
    <t>ROCKLAND</t>
  </si>
  <si>
    <t>MCPHERSON</t>
  </si>
  <si>
    <t>PASQUOTANK COUNTY</t>
  </si>
  <si>
    <t>MACON COUNTY</t>
  </si>
  <si>
    <t>(VA) - ALEXANDRIA</t>
  </si>
  <si>
    <t xml:space="preserve">WARREN </t>
  </si>
  <si>
    <t>PERQUIMANS COUNTY</t>
  </si>
  <si>
    <t>MAURY COUNTY</t>
  </si>
  <si>
    <t>(VA) - AMELIA</t>
  </si>
  <si>
    <t>VI</t>
  </si>
  <si>
    <t xml:space="preserve">ST. CROIX </t>
  </si>
  <si>
    <t>WESTCHESTER</t>
  </si>
  <si>
    <t>PENNSYLVANIA</t>
  </si>
  <si>
    <t>ROBERTSON COUNTY</t>
  </si>
  <si>
    <t>(VA) - ARLINGTON</t>
  </si>
  <si>
    <t xml:space="preserve">ST. JOHN </t>
  </si>
  <si>
    <t>PIKE</t>
  </si>
  <si>
    <t>TENNESSEE</t>
  </si>
  <si>
    <t>RUTHERFORD COUNTY</t>
  </si>
  <si>
    <t>(VA) - CAROLINE</t>
  </si>
  <si>
    <t xml:space="preserve">ST. THOMAS </t>
  </si>
  <si>
    <t xml:space="preserve">LANCASTER </t>
  </si>
  <si>
    <t>SMITH COUNTY</t>
  </si>
  <si>
    <t>(VA) - CHARLES CITY</t>
  </si>
  <si>
    <t>WA</t>
  </si>
  <si>
    <t xml:space="preserve">KING </t>
  </si>
  <si>
    <t>KENT</t>
  </si>
  <si>
    <t>SUMNER COUNTY</t>
  </si>
  <si>
    <t>(VA) - CHESAPEAKE</t>
  </si>
  <si>
    <t xml:space="preserve">PIERCE </t>
  </si>
  <si>
    <t xml:space="preserve">ST. JOHN,VI </t>
  </si>
  <si>
    <t>NEWPORT</t>
  </si>
  <si>
    <t>TROUSDALE COUNTY</t>
  </si>
  <si>
    <t>(VA) - CHESTERFIELD</t>
  </si>
  <si>
    <t xml:space="preserve">SAN JUAN </t>
  </si>
  <si>
    <t>PROVIDENCE</t>
  </si>
  <si>
    <t>WILLIAMSON COUNTY</t>
  </si>
  <si>
    <t>(VA) - CLARKE</t>
  </si>
  <si>
    <t xml:space="preserve">SNOHOMISH </t>
  </si>
  <si>
    <t>WASHINGTON</t>
  </si>
  <si>
    <t>WILSON COUNTY</t>
  </si>
  <si>
    <t>(VA) - COLONIAL HEIGHT</t>
  </si>
  <si>
    <t>WV</t>
  </si>
  <si>
    <t>CANNON</t>
  </si>
  <si>
    <t>BOX ELDER COUNTY</t>
  </si>
  <si>
    <t>(VA) - CUMBERLAND</t>
  </si>
  <si>
    <t>WY</t>
  </si>
  <si>
    <t>CHEATHAM</t>
  </si>
  <si>
    <t>DAVIS COUNTY</t>
  </si>
  <si>
    <t>(VA) - DINWIDDIE</t>
  </si>
  <si>
    <t>DAVIDSON</t>
  </si>
  <si>
    <t xml:space="preserve">CANNON </t>
  </si>
  <si>
    <t>WASATCH COUNTY</t>
  </si>
  <si>
    <t>MORGAN COUNTY</t>
  </si>
  <si>
    <t>(VA) - FAIRFAX</t>
  </si>
  <si>
    <t>DICKSON</t>
  </si>
  <si>
    <t xml:space="preserve">CHEATHAM </t>
  </si>
  <si>
    <t>ARLINGTON COUNTY</t>
  </si>
  <si>
    <t>(VA) - FAIRFAX IND</t>
  </si>
  <si>
    <t>HICKMAN</t>
  </si>
  <si>
    <t xml:space="preserve">DAVIDSON </t>
  </si>
  <si>
    <t>CLARKE COUNTY</t>
  </si>
  <si>
    <t>(VA) - FALLS CHURCH</t>
  </si>
  <si>
    <t>MACON</t>
  </si>
  <si>
    <t xml:space="preserve">DICKSON </t>
  </si>
  <si>
    <t>CULPEPER COUNTY</t>
  </si>
  <si>
    <t>WEBER COUNTY</t>
  </si>
  <si>
    <t>(VA) - FAUQUIER</t>
  </si>
  <si>
    <t>MAURY</t>
  </si>
  <si>
    <t xml:space="preserve">HICKMAN </t>
  </si>
  <si>
    <t>FAIRFAX COUNTY</t>
  </si>
  <si>
    <t>(VA) - FREDERICKSBURG</t>
  </si>
  <si>
    <t xml:space="preserve">VI </t>
  </si>
  <si>
    <t>ROBERTSON</t>
  </si>
  <si>
    <t>OR</t>
  </si>
  <si>
    <t>HOOD RIVER</t>
  </si>
  <si>
    <t xml:space="preserve">MACON </t>
  </si>
  <si>
    <t>UTAH</t>
  </si>
  <si>
    <t>FAUQUIER COUNTY</t>
  </si>
  <si>
    <t>(VA) - GLOUCESTER</t>
  </si>
  <si>
    <t>RUTHERFORD</t>
  </si>
  <si>
    <t xml:space="preserve">MAURY </t>
  </si>
  <si>
    <t>LOUDOUN COUNTY</t>
  </si>
  <si>
    <t>(VA) - GOOCHLAND</t>
  </si>
  <si>
    <t>SMITH</t>
  </si>
  <si>
    <t xml:space="preserve">ROBERTSON </t>
  </si>
  <si>
    <t>MADISON COUNTY</t>
  </si>
  <si>
    <t>(VA) - HAMPTON</t>
  </si>
  <si>
    <t xml:space="preserve">WA </t>
  </si>
  <si>
    <t xml:space="preserve">CLALLAM </t>
  </si>
  <si>
    <t>SUMNER</t>
  </si>
  <si>
    <t xml:space="preserve">RUTHERFORD </t>
  </si>
  <si>
    <t>SALT LAKE COUNTY</t>
  </si>
  <si>
    <t>PRINCE WILLIAM COUNTY</t>
  </si>
  <si>
    <t>(VA) - HANOVER</t>
  </si>
  <si>
    <t>TROUSDALE</t>
  </si>
  <si>
    <t xml:space="preserve">SMITH </t>
  </si>
  <si>
    <t>RAPPAHANNOCK COUNTY</t>
  </si>
  <si>
    <t>(VA) - HENRICO</t>
  </si>
  <si>
    <t>WILLIAMSON</t>
  </si>
  <si>
    <t xml:space="preserve">SUMNER </t>
  </si>
  <si>
    <t>TOOELE COUNTY</t>
  </si>
  <si>
    <t>SPOTSYLVANIA COUNTY</t>
  </si>
  <si>
    <t>(VA) - HOPEWELL</t>
  </si>
  <si>
    <t>WILSON</t>
  </si>
  <si>
    <t xml:space="preserve">TROUSDALE </t>
  </si>
  <si>
    <t>STAFFORD COUNTY</t>
  </si>
  <si>
    <t>(VA) - ISLE OF WIGHT</t>
  </si>
  <si>
    <t xml:space="preserve">WILLIAMSON </t>
  </si>
  <si>
    <t>WARREN COUNTY</t>
  </si>
  <si>
    <t>(VA) - JAMES CITY</t>
  </si>
  <si>
    <t xml:space="preserve">WV </t>
  </si>
  <si>
    <t>ALEXANDRIA CITY</t>
  </si>
  <si>
    <t xml:space="preserve">WILSON </t>
  </si>
  <si>
    <t>VIRGINIA</t>
  </si>
  <si>
    <t>(VA) - KING AND QUEEN</t>
  </si>
  <si>
    <t xml:space="preserve">WY </t>
  </si>
  <si>
    <t>ARLINGTON</t>
  </si>
  <si>
    <t xml:space="preserve">BOX ELDER </t>
  </si>
  <si>
    <t>FAIRFAX CITY</t>
  </si>
  <si>
    <t>(VA) - KING WILLIAM</t>
  </si>
  <si>
    <t>CLARKE</t>
  </si>
  <si>
    <t xml:space="preserve">DAVIS </t>
  </si>
  <si>
    <t>FALLS CHURCH CITY</t>
  </si>
  <si>
    <t>(VA) - LANCASTER</t>
  </si>
  <si>
    <t>CULPEPER</t>
  </si>
  <si>
    <t>SALT LAKE</t>
  </si>
  <si>
    <t xml:space="preserve">MORGAN </t>
  </si>
  <si>
    <t>FREDERICKSBURG CITY</t>
  </si>
  <si>
    <t>(VA) - LOUDOUN</t>
  </si>
  <si>
    <t>MANASSAS CITY</t>
  </si>
  <si>
    <t>(VA) - LOUISA</t>
  </si>
  <si>
    <t>TOOELE</t>
  </si>
  <si>
    <t>MANASSAS PARK CITY</t>
  </si>
  <si>
    <t>(VA) - MANASSAS</t>
  </si>
  <si>
    <t>AMELIA</t>
  </si>
  <si>
    <t>KING COUNTY</t>
  </si>
  <si>
    <t>(VA) - MANASSAS PARK</t>
  </si>
  <si>
    <t>FAUQUIER</t>
  </si>
  <si>
    <t xml:space="preserve">WASATCH </t>
  </si>
  <si>
    <t>PIERCE COUNTY</t>
  </si>
  <si>
    <t>(VA) - MATHEWS</t>
  </si>
  <si>
    <t>FREDERICKSBURG</t>
  </si>
  <si>
    <t>CAROLINE</t>
  </si>
  <si>
    <t xml:space="preserve">WEBER </t>
  </si>
  <si>
    <t>SNOHOMISH COUNTY</t>
  </si>
  <si>
    <t>(VA) - NEW KENT</t>
  </si>
  <si>
    <t>LANCASTER</t>
  </si>
  <si>
    <t>CHARLES CITY</t>
  </si>
  <si>
    <t xml:space="preserve">AMELIA </t>
  </si>
  <si>
    <t>(VA) - NEWPORT NEWS</t>
  </si>
  <si>
    <t>LOUDOUN</t>
  </si>
  <si>
    <t>CHESTERFIELD</t>
  </si>
  <si>
    <t>(VA) - NORFOLK</t>
  </si>
  <si>
    <t xml:space="preserve">CAROLINE </t>
  </si>
  <si>
    <t>(VA) - PETERSBURG</t>
  </si>
  <si>
    <t>MANASSAS PARK C</t>
  </si>
  <si>
    <t xml:space="preserve">CHARLES CITY </t>
  </si>
  <si>
    <t>ST. CROIX ISLAND</t>
  </si>
  <si>
    <t>(VA) - POQUOSON</t>
  </si>
  <si>
    <t>PRINCE WILLIAM</t>
  </si>
  <si>
    <t>CUMBERLAND</t>
  </si>
  <si>
    <t xml:space="preserve">CHESTERFIELD </t>
  </si>
  <si>
    <t>ST. JOHN ISLAND</t>
  </si>
  <si>
    <t>(VA) - PORTSMOUTH</t>
  </si>
  <si>
    <t>RAPPAHANNOCK</t>
  </si>
  <si>
    <t>DINWIDDIE</t>
  </si>
  <si>
    <t>ST. THOMAS ISLAND</t>
  </si>
  <si>
    <t>(VA) - POWHATAN</t>
  </si>
  <si>
    <t>SPOTSYLVANIA</t>
  </si>
  <si>
    <t>FAIRFAX</t>
  </si>
  <si>
    <t xml:space="preserve">CULPEPER </t>
  </si>
  <si>
    <t>(VA) - PRINCE GEORGE</t>
  </si>
  <si>
    <t>STAFFORD</t>
  </si>
  <si>
    <t xml:space="preserve">CUMBERLAND </t>
  </si>
  <si>
    <t>(VA) - PRINCE WILLIAM</t>
  </si>
  <si>
    <t>WARREN</t>
  </si>
  <si>
    <t>GOOCHLAND</t>
  </si>
  <si>
    <t xml:space="preserve">DINWIDDIE </t>
  </si>
  <si>
    <t>(VA) - RICHMOND IND</t>
  </si>
  <si>
    <t>ST. CROIX ISLAN</t>
  </si>
  <si>
    <t>HANOVER</t>
  </si>
  <si>
    <t>(VA) - SPOTSYLVANIA</t>
  </si>
  <si>
    <t>HENRICO</t>
  </si>
  <si>
    <t>(VA) - STAFFORD</t>
  </si>
  <si>
    <t>ST. THOMAS ISLA</t>
  </si>
  <si>
    <t>KING AND QUEEN</t>
  </si>
  <si>
    <t xml:space="preserve">GOOCHLAND </t>
  </si>
  <si>
    <t>(VA) - SUFFOLK</t>
  </si>
  <si>
    <t>KING</t>
  </si>
  <si>
    <t>KING WILLIAM</t>
  </si>
  <si>
    <t xml:space="preserve">HANOVER </t>
  </si>
  <si>
    <t>WEST VIRGINIA</t>
  </si>
  <si>
    <t>(VA) - SURRY</t>
  </si>
  <si>
    <t>PIERCE</t>
  </si>
  <si>
    <t>ALBEMARLE</t>
  </si>
  <si>
    <t>GLOUCESTER</t>
  </si>
  <si>
    <t xml:space="preserve">HENRICO </t>
  </si>
  <si>
    <t>WYOMING</t>
  </si>
  <si>
    <t>(VA) - SUSSEX</t>
  </si>
  <si>
    <t>SAN JUAN</t>
  </si>
  <si>
    <t>LOUISA</t>
  </si>
  <si>
    <t xml:space="preserve">KING AND QUEEN </t>
  </si>
  <si>
    <t>(VA) - VIRGINIA BEACH</t>
  </si>
  <si>
    <t>SNOHOMISH</t>
  </si>
  <si>
    <t>NEW KENT</t>
  </si>
  <si>
    <t xml:space="preserve">KING WILLIAM </t>
  </si>
  <si>
    <t>(VA) - WARREN</t>
  </si>
  <si>
    <t>BUCKINGHAM</t>
  </si>
  <si>
    <t>POWHATAN</t>
  </si>
  <si>
    <t>(VA) - WILLIAMSBURG</t>
  </si>
  <si>
    <t>ISLE OF WIGHT</t>
  </si>
  <si>
    <t>PRINCE GEORGE</t>
  </si>
  <si>
    <t xml:space="preserve">LOUISA </t>
  </si>
  <si>
    <t>(VA) - YORK</t>
  </si>
  <si>
    <t>JAMES CITY</t>
  </si>
  <si>
    <t xml:space="preserve">MADISON </t>
  </si>
  <si>
    <t>(VI) - ST. CROIX</t>
  </si>
  <si>
    <t xml:space="preserve">NEW KENT </t>
  </si>
  <si>
    <t>(VI) - ST. JOHN</t>
  </si>
  <si>
    <t>CHARLOTTESVILLE</t>
  </si>
  <si>
    <t xml:space="preserve">POWHATAN </t>
  </si>
  <si>
    <t>(VI) - ST. THOMAS</t>
  </si>
  <si>
    <t>CHEASAPEAKE CITY</t>
  </si>
  <si>
    <t xml:space="preserve">PRINCE GEORGE </t>
  </si>
  <si>
    <t>(WA) - KING</t>
  </si>
  <si>
    <t>(WA) - PIERCE</t>
  </si>
  <si>
    <t>MATHEWS</t>
  </si>
  <si>
    <t xml:space="preserve">RAPPAHANNOCK </t>
  </si>
  <si>
    <t>(WA) - SAN JUAN</t>
  </si>
  <si>
    <t>COLONIAL HEIGHT</t>
  </si>
  <si>
    <t>ALEXANDRIA</t>
  </si>
  <si>
    <t>(WA) - SNOHOMISH</t>
  </si>
  <si>
    <t>(WV) - JEFFERSON</t>
  </si>
  <si>
    <t>FLUVANNA</t>
  </si>
  <si>
    <t>FAIRFAX IND</t>
  </si>
  <si>
    <t>(WY) - TETON</t>
  </si>
  <si>
    <t>DINWIDDLE</t>
  </si>
  <si>
    <t>FALLS CHURCH</t>
  </si>
  <si>
    <t>HOPEWELL</t>
  </si>
  <si>
    <t>COLONIAL HEIGHTS CITY</t>
  </si>
  <si>
    <t>MANASSAS</t>
  </si>
  <si>
    <t>SURRY</t>
  </si>
  <si>
    <t>MANASSAS PARK</t>
  </si>
  <si>
    <t>FLUVANIA</t>
  </si>
  <si>
    <t>PETERSBURG</t>
  </si>
  <si>
    <t>RICHMOND IND</t>
  </si>
  <si>
    <t>HOPEWELL CITY</t>
  </si>
  <si>
    <t>YORK</t>
  </si>
  <si>
    <t>CHESAPEAKE</t>
  </si>
  <si>
    <t>PETERSBURG CITY</t>
  </si>
  <si>
    <t>HAMPTON CITY</t>
  </si>
  <si>
    <t>RICHMOND CITY</t>
  </si>
  <si>
    <t>NELSON</t>
  </si>
  <si>
    <t>ISLE OF WRIGHT</t>
  </si>
  <si>
    <t>HAMPTON</t>
  </si>
  <si>
    <t>ST. CROIX</t>
  </si>
  <si>
    <t>ST. JOHN,VI</t>
  </si>
  <si>
    <t>NEWPORT NEWS</t>
  </si>
  <si>
    <t>ST. THOMAS</t>
  </si>
  <si>
    <t>POQUOSON</t>
  </si>
  <si>
    <t>PORTSMOUTH</t>
  </si>
  <si>
    <t>VIRGINIA BEACH</t>
  </si>
  <si>
    <t>WILLIAMSBURG</t>
  </si>
  <si>
    <t>NORFOLK CITY</t>
  </si>
  <si>
    <t>POQUOSON CITY</t>
  </si>
  <si>
    <t>PORTSMOUTH CITY</t>
  </si>
  <si>
    <t>SUFFOLK CITY</t>
  </si>
  <si>
    <t>WILLIAMSBURG CI</t>
  </si>
  <si>
    <t>ALEUTIANS EAST BOROUGH,AK</t>
  </si>
  <si>
    <t>ALEUTIANS WEST CENSUS AREA,AK</t>
  </si>
  <si>
    <t>ANCHORAGE MUNICIPALITY,AK</t>
  </si>
  <si>
    <t>BETHEL CENSUS AREA,AK</t>
  </si>
  <si>
    <t>BRISTOL BAY BOROUGH,AK</t>
  </si>
  <si>
    <t>CHUGACH CENSUS AREA,AK</t>
  </si>
  <si>
    <t>COPPER RIVER CENSUS AREA,AK</t>
  </si>
  <si>
    <t>DENALI BOROUGH,AK</t>
  </si>
  <si>
    <t>DILLINGHAM CENSUS AREA,AK</t>
  </si>
  <si>
    <t>FAIRBANKS NORTH STAR BOROUGH,AK</t>
  </si>
  <si>
    <t>HAINES BOROUGH,AK</t>
  </si>
  <si>
    <t>HOONAH-ANGOON CENSUS AREA,AK</t>
  </si>
  <si>
    <t>JUNEAU CITY AND BOROUGH,AK</t>
  </si>
  <si>
    <t>KENAI PENINSULA BOROUGH,AK</t>
  </si>
  <si>
    <t>KETCHIKAN GATEWAY BOROUGH,AK</t>
  </si>
  <si>
    <t>KODIAK ISLAND BOROUGH,AK</t>
  </si>
  <si>
    <t>KUSILVAK CENSUS AREA,AK</t>
  </si>
  <si>
    <t>LAKE AND PENINSULA BOROUGH,AK</t>
  </si>
  <si>
    <t>MATANUSKA-SUSITNA BOROUGH,AK</t>
  </si>
  <si>
    <t>NOME CENSUS AREA,AK</t>
  </si>
  <si>
    <t>NORTH SLOPE BOROUGH,AK</t>
  </si>
  <si>
    <t>NORTHWEST ARCTIC BOROUGH,AK</t>
  </si>
  <si>
    <t>PETERSBURG CENSUS AREA,AK</t>
  </si>
  <si>
    <t>PRINCE OF WALES-HYDER CENSUS AREA,AK</t>
  </si>
  <si>
    <t>SITKA CITY AND BOROUGH,AK</t>
  </si>
  <si>
    <t>SKAGWAY MUNICIPALITY,AK</t>
  </si>
  <si>
    <t>SOUTHEAST FAIRBANKS CENSUS AREA,AK</t>
  </si>
  <si>
    <t>WRANGELL CITY AND BOROUGH,AK</t>
  </si>
  <si>
    <t>YAKUTAT CITY AND BOROUGH,AK</t>
  </si>
  <si>
    <t>YUKON-KOYUKUK CENSUS AREA,AK</t>
  </si>
  <si>
    <t>ALAMEDA COUNTY,CA</t>
  </si>
  <si>
    <t>CONTRA COSTA COUNTY,CA</t>
  </si>
  <si>
    <t>LOS ANGELES COUNTY,CA</t>
  </si>
  <si>
    <t>MARIN COUNTY,CA</t>
  </si>
  <si>
    <t>MONTEREY COUNTY,CA</t>
  </si>
  <si>
    <t>NAPA COUNTY,CA</t>
  </si>
  <si>
    <t>ORANGE COUNTY,CA</t>
  </si>
  <si>
    <t>SAN BENITO COUNTY,CA</t>
  </si>
  <si>
    <t>SAN DIEGO COUNTY,CA</t>
  </si>
  <si>
    <t>SAN FRANCISCO COUNTY,CA</t>
  </si>
  <si>
    <t>SAN LUIS OBISPO COUNTY,CA</t>
  </si>
  <si>
    <t>SAN MATEO COUNTY,CA</t>
  </si>
  <si>
    <t>SANTA BARBARA COUNTY,CA</t>
  </si>
  <si>
    <t>SANTA CLARA COUNTY,CA</t>
  </si>
  <si>
    <t>SANTA CRUZ COUNTY,CA</t>
  </si>
  <si>
    <t>SONOMA COUNTY,CA</t>
  </si>
  <si>
    <t>VENTURA COUNTY,CA</t>
  </si>
  <si>
    <t>ADAMS COUNTY,CO</t>
  </si>
  <si>
    <t>ARAPAHOE COUNTY,CO</t>
  </si>
  <si>
    <t>BOULDER COUNTY,CO</t>
  </si>
  <si>
    <t>BROOMFIELD COUNTY,CO</t>
  </si>
  <si>
    <t>CLEAR CREEK COUNTY,CO</t>
  </si>
  <si>
    <t>DENVER COUNTY,CO</t>
  </si>
  <si>
    <t>DOUGLAS COUNTY,CO</t>
  </si>
  <si>
    <t>EAGLE COUNTY,CO</t>
  </si>
  <si>
    <t>ELBERT COUNTY,CO</t>
  </si>
  <si>
    <t>GARFIELD COUNTY,CO</t>
  </si>
  <si>
    <t>GILPIN COUNTY,CO</t>
  </si>
  <si>
    <t>GRAND COUNTY,CO</t>
  </si>
  <si>
    <t>JEFFERSON COUNTY,CO</t>
  </si>
  <si>
    <t>PARK COUNTY,CO</t>
  </si>
  <si>
    <t>PITKIN COUNTY,CO</t>
  </si>
  <si>
    <t>ROUTT COUNTY,CO</t>
  </si>
  <si>
    <t>SAN MIGUEL COUNTY,CO</t>
  </si>
  <si>
    <t>SUMMIT COUNTY,CO</t>
  </si>
  <si>
    <t>FAIRFIELD COUNTY,CT</t>
  </si>
  <si>
    <t>DISTRICT OF COLUMBIA,DC</t>
  </si>
  <si>
    <t>MONROE COUNTY,FL</t>
  </si>
  <si>
    <t>HAWAII COUNTY,HI</t>
  </si>
  <si>
    <t>HONOLULU COUNTY,HI</t>
  </si>
  <si>
    <t>KALAWAO COUNTY,HI</t>
  </si>
  <si>
    <t>KAUAI COUNTY,HI</t>
  </si>
  <si>
    <t>MAUI COUNTY,HI</t>
  </si>
  <si>
    <t>TETON COUNTY,ID</t>
  </si>
  <si>
    <t>CALVERT COUNTY,MD</t>
  </si>
  <si>
    <t>CHARLES COUNTY,MD</t>
  </si>
  <si>
    <t>FREDERICK COUNTY,MD</t>
  </si>
  <si>
    <t>MONTGOMERY COUNTY,MD</t>
  </si>
  <si>
    <t>PRINCE GEORGE'S COUNTY,MD</t>
  </si>
  <si>
    <t>DUKES COUNTY,MA</t>
  </si>
  <si>
    <t>ESSEX COUNTY,MA</t>
  </si>
  <si>
    <t>MIDDLESEX COUNTY,MA</t>
  </si>
  <si>
    <t>NANTUCKET COUNTY,MA</t>
  </si>
  <si>
    <t>NORFOLK COUNTY,MA</t>
  </si>
  <si>
    <t>PLYMOUTH COUNTY,MA</t>
  </si>
  <si>
    <t>SUFFOLK COUNTY,MA</t>
  </si>
  <si>
    <t>ROCKINGHAM COUNTY,NH</t>
  </si>
  <si>
    <t>STRAFFORD COUNTY,NH</t>
  </si>
  <si>
    <t>BERGEN COUNTY,NJ</t>
  </si>
  <si>
    <t>ESSEX COUNTY,NJ</t>
  </si>
  <si>
    <t>HUDSON COUNTY,NJ</t>
  </si>
  <si>
    <t>HUNTERDON COUNTY,NJ</t>
  </si>
  <si>
    <t>MIDDLESEX COUNTY,NJ</t>
  </si>
  <si>
    <t>MONMOUTH COUNTY,NJ</t>
  </si>
  <si>
    <t>MORRIS COUNTY,NJ</t>
  </si>
  <si>
    <t>OCEAN COUNTY,NJ</t>
  </si>
  <si>
    <t>PASSAIC COUNTY,NJ</t>
  </si>
  <si>
    <t>SOMERSET COUNTY,NJ</t>
  </si>
  <si>
    <t>SUSSEX COUNTY,NJ</t>
  </si>
  <si>
    <t>UNION COUNTY,NJ</t>
  </si>
  <si>
    <t>BRONX COUNTY,NY</t>
  </si>
  <si>
    <t>KINGS COUNTY,NY</t>
  </si>
  <si>
    <t>NASSAU COUNTY,NY</t>
  </si>
  <si>
    <t>NEW YORK COUNTY,NY</t>
  </si>
  <si>
    <t>PUTNAM COUNTY,NY</t>
  </si>
  <si>
    <t>QUEENS COUNTY,NY</t>
  </si>
  <si>
    <t>RICHMOND COUNTY,NY</t>
  </si>
  <si>
    <t>ROCKLAND COUNTY,NY</t>
  </si>
  <si>
    <t>SUFFOLK COUNTY,NY</t>
  </si>
  <si>
    <t>WESTCHESTER COUNTY,NY</t>
  </si>
  <si>
    <t>PIKE COUNTY,PA</t>
  </si>
  <si>
    <t>CANNON COUNTY,TN</t>
  </si>
  <si>
    <t>CHEATHAM COUNTY,TN</t>
  </si>
  <si>
    <t>DAVIDSON COUNTY,TN</t>
  </si>
  <si>
    <t>DICKSON COUNTY,TN</t>
  </si>
  <si>
    <t>MACON COUNTY,TN</t>
  </si>
  <si>
    <t>MAURY COUNTY,TN</t>
  </si>
  <si>
    <t>ROBERTSON COUNTY,TN</t>
  </si>
  <si>
    <t>RUTHERFORD COUNTY,TN</t>
  </si>
  <si>
    <t>SMITH COUNTY,TN</t>
  </si>
  <si>
    <t>SUMNER COUNTY,TN</t>
  </si>
  <si>
    <t>TROUSDALE COUNTY,TN</t>
  </si>
  <si>
    <t>WILLIAMSON COUNTY,TN</t>
  </si>
  <si>
    <t>WILSON COUNTY,TN</t>
  </si>
  <si>
    <t>SUMMIT COUNTY,UT</t>
  </si>
  <si>
    <t>WASATCH COUNTY,UT</t>
  </si>
  <si>
    <t>WAYNE COUNTY,UT</t>
  </si>
  <si>
    <t>ARLINGTON COUNTY,VA</t>
  </si>
  <si>
    <t>CLARKE COUNTY,VA</t>
  </si>
  <si>
    <t>CULPEPER COUNTY,VA</t>
  </si>
  <si>
    <t>FAIRFAX COUNTY,VA</t>
  </si>
  <si>
    <t>FAUQUIER COUNTY,VA</t>
  </si>
  <si>
    <t>LOUDOUN COUNTY,VA</t>
  </si>
  <si>
    <t>MADISON COUNTY,VA</t>
  </si>
  <si>
    <t>PRINCE WILLIAM COUNTY,VA</t>
  </si>
  <si>
    <t>RAPPAHANNOCK COUNTY,VA</t>
  </si>
  <si>
    <t>SPOTSYLVANIA COUNTY,VA</t>
  </si>
  <si>
    <t>STAFFORD COUNTY,VA</t>
  </si>
  <si>
    <t>WARREN COUNTY,VA</t>
  </si>
  <si>
    <t>ALEXANDRIA CITY,VA</t>
  </si>
  <si>
    <t>FAIRFAX CITY,VA</t>
  </si>
  <si>
    <t>FALLS CHURCH CITY,VA</t>
  </si>
  <si>
    <t>FREDERICKSBURG CITY,VA</t>
  </si>
  <si>
    <t>MANASSAS CITY,VA</t>
  </si>
  <si>
    <t>MANASSAS PARK CITY,VA</t>
  </si>
  <si>
    <t>KING COUNTY,WA</t>
  </si>
  <si>
    <t>PIERCE COUNTY,WA</t>
  </si>
  <si>
    <t>SNOHOMISH COUNTY,WA</t>
  </si>
  <si>
    <t>JEFFERSON COUNTY,WV</t>
  </si>
  <si>
    <t>TETON COUNTY,WY</t>
  </si>
  <si>
    <t>GUAM,GU</t>
  </si>
  <si>
    <t>ST. CROIX ISLAND,VI</t>
  </si>
  <si>
    <t>ST. JOHN ISLAND,VI</t>
  </si>
  <si>
    <t>ST. THOMAS ISLAND,VI</t>
  </si>
  <si>
    <r>
      <t xml:space="preserve">Does the recoupment calculation on the initial VA IRRRL Comparison Statement include </t>
    </r>
    <r>
      <rPr>
        <b/>
        <sz val="8"/>
        <color theme="0"/>
        <rFont val="Calibri"/>
        <family val="2"/>
      </rPr>
      <t>all</t>
    </r>
    <r>
      <rPr>
        <sz val="8"/>
        <color theme="0"/>
        <rFont val="Calibri"/>
        <family val="2"/>
      </rPr>
      <t xml:space="preserve"> incurred fees, expenses, and closing costs (including those that are included in the loan or that will be paid outside of the closing)? - Compare to the initial 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</si>
</sst>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6" formatCode="&quot;$&quot;#,##0_);[Red]\(&quot;$&quot;#,##0\)"/>
    <numFmt numFmtId="44" formatCode="_(&quot;$&quot;* #,##0.00_);_(&quot;$&quot;* \(#,##0.00\);_(&quot;$&quot;* &quot;-&quot;??_);_(@_)"/>
    <numFmt numFmtId="43" formatCode="_(* #,##0.00_);_(* \(#,##0.00\);_(* &quot;-&quot;??_);_(@_)"/>
    <numFmt numFmtId="164" formatCode="0.00%;;&quot;0.00%&quot;"/>
    <numFmt numFmtId="165" formatCode="_(&quot;$&quot;* #,##0.00_);_(&quot;$&quot;* \(#,##0.00\);_(&quot;$&quot;* &quot;0.00&quot;_);_(@_)"/>
    <numFmt numFmtId="166" formatCode="0.000000"/>
    <numFmt numFmtId="167" formatCode="0.000000000000"/>
    <numFmt numFmtId="168" formatCode="0.000%"/>
    <numFmt numFmtId="169" formatCode="_(&quot;$&quot;* #,##0.000000000_);_(&quot;$&quot;* \(#,##0.000000000\);_(&quot;$&quot;* &quot;-&quot;??_);_(@_)"/>
    <numFmt numFmtId="170" formatCode="_(&quot;$&quot;* #,##0.0000_);_(&quot;$&quot;* \(#,##0.0000\);_(&quot;$&quot;* &quot;-&quot;??_);_(@_)"/>
    <numFmt numFmtId="171" formatCode="_(&quot;$&quot;* #,##0_);_(&quot;$&quot;* \(#,##0\);_(&quot;$&quot;* &quot;-&quot;??_);_(@_)"/>
    <numFmt numFmtId="172" formatCode="&quot;$&quot;#,##0"/>
    <numFmt numFmtId="173" formatCode="0.000"/>
    <numFmt numFmtId="174" formatCode="&quot;$&quot;#,##0.00"/>
    <numFmt numFmtId="175" formatCode="0.0000%"/>
  </numFmts>
  <fonts count="83" x14ac:knownFonts="1">
    <font>
      <sz val="11"/>
      <color theme="1"/>
      <name val="Calibri"/>
      <family val="2"/>
      <scheme val="minor"/>
    </font>
    <font>
      <sz val="8"/>
      <name val="Arial"/>
      <family val="2"/>
    </font>
    <font>
      <sz val="9"/>
      <name val="Calibri"/>
      <family val="2"/>
    </font>
    <font>
      <sz val="8"/>
      <color indexed="8"/>
      <name val="Calibri"/>
      <family val="2"/>
    </font>
    <font>
      <sz val="8"/>
      <name val="Calibri"/>
      <family val="2"/>
    </font>
    <font>
      <b/>
      <sz val="8"/>
      <color indexed="8"/>
      <name val="Calibri"/>
      <family val="2"/>
    </font>
    <font>
      <i/>
      <sz val="8"/>
      <name val="Calibri"/>
      <family val="2"/>
    </font>
    <font>
      <sz val="9"/>
      <name val="Arial"/>
      <family val="2"/>
    </font>
    <font>
      <sz val="10"/>
      <name val="MS Sans Serif"/>
      <family val="2"/>
    </font>
    <font>
      <sz val="11"/>
      <name val="Calibri"/>
      <family val="2"/>
    </font>
    <font>
      <b/>
      <sz val="10"/>
      <color indexed="63"/>
      <name val="Calibri"/>
      <family val="2"/>
    </font>
    <font>
      <i/>
      <sz val="10"/>
      <color indexed="63"/>
      <name val="Calibri"/>
      <family val="2"/>
    </font>
    <font>
      <sz val="10"/>
      <color indexed="63"/>
      <name val="Calibri"/>
      <family val="2"/>
    </font>
    <font>
      <b/>
      <i/>
      <sz val="10"/>
      <color indexed="63"/>
      <name val="Calibri"/>
      <family val="2"/>
    </font>
    <font>
      <sz val="5"/>
      <color indexed="63"/>
      <name val="Calibri"/>
      <family val="2"/>
    </font>
    <font>
      <u/>
      <sz val="10"/>
      <color indexed="63"/>
      <name val="Calibri"/>
      <family val="2"/>
    </font>
    <font>
      <b/>
      <sz val="14"/>
      <name val="Calibri"/>
      <family val="2"/>
    </font>
    <font>
      <i/>
      <sz val="11"/>
      <name val="Calibri"/>
      <family val="2"/>
    </font>
    <font>
      <sz val="12"/>
      <name val="Calibri"/>
      <family val="2"/>
    </font>
    <font>
      <sz val="11"/>
      <color theme="1"/>
      <name val="Calibri"/>
      <family val="2"/>
      <scheme val="minor"/>
    </font>
    <font>
      <sz val="11"/>
      <color theme="0"/>
      <name val="Calibri"/>
      <family val="2"/>
      <scheme val="minor"/>
    </font>
    <font>
      <b/>
      <sz val="11"/>
      <color theme="0"/>
      <name val="Calibri"/>
      <family val="2"/>
      <scheme val="minor"/>
    </font>
    <font>
      <b/>
      <sz val="8"/>
      <color theme="5" tint="-0.24994659260841701"/>
      <name val="Calibri"/>
      <family val="2"/>
    </font>
    <font>
      <b/>
      <sz val="8"/>
      <color rgb="FFFF0000"/>
      <name val="Calibri"/>
      <family val="2"/>
    </font>
    <font>
      <sz val="11"/>
      <color rgb="FF000000"/>
      <name val="Calibri"/>
      <family val="2"/>
    </font>
    <font>
      <b/>
      <u/>
      <sz val="11"/>
      <color rgb="FF000000"/>
      <name val="Calibri"/>
      <family val="2"/>
    </font>
    <font>
      <b/>
      <sz val="9"/>
      <color rgb="FF000000"/>
      <name val="Calibri"/>
      <family val="2"/>
    </font>
    <font>
      <u/>
      <sz val="11"/>
      <color rgb="FF000000"/>
      <name val="Calibri"/>
      <family val="2"/>
    </font>
    <font>
      <sz val="9"/>
      <color rgb="FF000000"/>
      <name val="Calibri"/>
      <family val="2"/>
    </font>
    <font>
      <b/>
      <sz val="11"/>
      <color rgb="FF000000"/>
      <name val="Calibri"/>
      <family val="2"/>
    </font>
    <font>
      <sz val="12"/>
      <color rgb="FF000000"/>
      <name val="Calibri"/>
      <family val="2"/>
    </font>
    <font>
      <sz val="9"/>
      <color rgb="FF000000"/>
      <name val="Arial"/>
      <family val="2"/>
    </font>
    <font>
      <sz val="10"/>
      <color rgb="FF000000"/>
      <name val="MS Sans Serif"/>
      <family val="2"/>
    </font>
    <font>
      <sz val="10"/>
      <color rgb="FF538DD5"/>
      <name val="MS Sans Serif"/>
      <family val="2"/>
    </font>
    <font>
      <sz val="10"/>
      <color indexed="8"/>
      <name val="Calibri"/>
      <family val="2"/>
      <scheme val="minor"/>
    </font>
    <font>
      <sz val="10"/>
      <color rgb="FF333333"/>
      <name val="Calibri"/>
      <family val="2"/>
      <scheme val="minor"/>
    </font>
    <font>
      <b/>
      <sz val="10"/>
      <color rgb="FF333333"/>
      <name val="Calibri"/>
      <family val="2"/>
      <scheme val="minor"/>
    </font>
    <font>
      <i/>
      <sz val="10"/>
      <color rgb="FF333333"/>
      <name val="Calibri"/>
      <family val="2"/>
      <scheme val="minor"/>
    </font>
    <font>
      <b/>
      <sz val="10"/>
      <name val="Calibri"/>
      <family val="2"/>
      <scheme val="minor"/>
    </font>
    <font>
      <sz val="8"/>
      <color theme="1"/>
      <name val="Calibri"/>
      <family val="2"/>
      <scheme val="minor"/>
    </font>
    <font>
      <i/>
      <sz val="8"/>
      <color theme="1"/>
      <name val="Calibri"/>
      <family val="2"/>
      <scheme val="minor"/>
    </font>
    <font>
      <sz val="8"/>
      <color theme="0"/>
      <name val="Calibri"/>
      <family val="2"/>
    </font>
    <font>
      <sz val="8"/>
      <color theme="0"/>
      <name val="Calibri"/>
      <family val="2"/>
      <scheme val="minor"/>
    </font>
    <font>
      <sz val="14"/>
      <color theme="0"/>
      <name val="Calibri"/>
      <family val="2"/>
      <scheme val="minor"/>
    </font>
    <font>
      <sz val="14"/>
      <name val="Calibri"/>
      <family val="2"/>
      <scheme val="minor"/>
    </font>
    <font>
      <sz val="11"/>
      <name val="Calibri"/>
      <family val="2"/>
      <scheme val="minor"/>
    </font>
    <font>
      <b/>
      <sz val="8"/>
      <color theme="0"/>
      <name val="Calibri"/>
      <family val="2"/>
    </font>
    <font>
      <sz val="22"/>
      <color theme="0"/>
      <name val="Calibri"/>
      <family val="2"/>
      <scheme val="minor"/>
    </font>
    <font>
      <b/>
      <sz val="10"/>
      <color theme="0"/>
      <name val="Calibri"/>
      <family val="2"/>
      <scheme val="minor"/>
    </font>
    <font>
      <sz val="8"/>
      <color rgb="FFC00000"/>
      <name val="Calibri"/>
      <family val="2"/>
    </font>
    <font>
      <sz val="8"/>
      <color theme="3"/>
      <name val="Calibri"/>
      <family val="2"/>
    </font>
    <font>
      <b/>
      <sz val="18"/>
      <color theme="0"/>
      <name val="Calibri"/>
      <family val="2"/>
      <scheme val="minor"/>
    </font>
    <font>
      <b/>
      <sz val="14"/>
      <name val="Calibri"/>
      <family val="2"/>
      <scheme val="minor"/>
    </font>
    <font>
      <i/>
      <sz val="10"/>
      <name val="Calibri"/>
      <family val="2"/>
      <scheme val="minor"/>
    </font>
    <font>
      <i/>
      <sz val="11"/>
      <name val="Calibri"/>
      <family val="2"/>
      <scheme val="minor"/>
    </font>
    <font>
      <sz val="7"/>
      <name val="Calibri"/>
      <family val="2"/>
      <scheme val="minor"/>
    </font>
    <font>
      <sz val="8"/>
      <name val="Calibri"/>
      <family val="2"/>
      <scheme val="minor"/>
    </font>
    <font>
      <sz val="10"/>
      <name val="Calibri"/>
      <family val="2"/>
      <scheme val="minor"/>
    </font>
    <font>
      <sz val="9"/>
      <name val="Calibri"/>
      <family val="2"/>
      <scheme val="minor"/>
    </font>
    <font>
      <sz val="7"/>
      <color theme="0"/>
      <name val="Calibri"/>
      <family val="2"/>
      <scheme val="minor"/>
    </font>
    <font>
      <sz val="10"/>
      <color theme="0"/>
      <name val="Calibri"/>
      <family val="2"/>
      <scheme val="minor"/>
    </font>
    <font>
      <b/>
      <i/>
      <sz val="8"/>
      <name val="Calibri"/>
      <family val="2"/>
      <scheme val="minor"/>
    </font>
    <font>
      <sz val="12"/>
      <name val="Calibri"/>
      <family val="2"/>
      <scheme val="minor"/>
    </font>
    <font>
      <i/>
      <sz val="8"/>
      <name val="Calibri"/>
      <family val="2"/>
      <scheme val="minor"/>
    </font>
    <font>
      <b/>
      <sz val="11"/>
      <name val="Calibri"/>
      <family val="2"/>
      <scheme val="minor"/>
    </font>
    <font>
      <i/>
      <sz val="12"/>
      <name val="Calibri"/>
      <family val="2"/>
      <scheme val="minor"/>
    </font>
    <font>
      <b/>
      <sz val="16"/>
      <name val="Calibri"/>
      <family val="2"/>
      <scheme val="minor"/>
    </font>
    <font>
      <b/>
      <u/>
      <sz val="11"/>
      <name val="Calibri"/>
      <family val="2"/>
      <scheme val="minor"/>
    </font>
    <font>
      <sz val="10"/>
      <color theme="3" tint="0.39997558519241921"/>
      <name val="MS Sans Serif"/>
      <family val="2"/>
    </font>
    <font>
      <sz val="8"/>
      <color rgb="FFFF0000"/>
      <name val="Calibri"/>
      <family val="2"/>
    </font>
    <font>
      <sz val="8"/>
      <color rgb="FFFF0000"/>
      <name val="Calibri"/>
      <family val="2"/>
      <scheme val="minor"/>
    </font>
    <font>
      <b/>
      <u/>
      <sz val="8"/>
      <color theme="0"/>
      <name val="Calibri"/>
      <family val="2"/>
    </font>
    <font>
      <b/>
      <sz val="20"/>
      <name val="Calibri"/>
      <family val="2"/>
      <scheme val="minor"/>
    </font>
    <font>
      <b/>
      <sz val="14"/>
      <color theme="0"/>
      <name val="Calibri"/>
      <family val="2"/>
      <scheme val="minor"/>
    </font>
    <font>
      <b/>
      <sz val="8"/>
      <name val="Calibri"/>
      <family val="2"/>
      <scheme val="minor"/>
    </font>
    <font>
      <i/>
      <sz val="9"/>
      <name val="Calibri"/>
      <family val="2"/>
      <scheme val="minor"/>
    </font>
    <font>
      <b/>
      <sz val="22"/>
      <color theme="0"/>
      <name val="Calibri"/>
      <family val="2"/>
      <scheme val="minor"/>
    </font>
    <font>
      <b/>
      <sz val="11"/>
      <color rgb="FFFF0000"/>
      <name val="Calibri"/>
      <family val="2"/>
      <scheme val="minor"/>
    </font>
    <font>
      <sz val="8"/>
      <color theme="1"/>
      <name val="Calibri"/>
      <family val="2"/>
    </font>
    <font>
      <b/>
      <sz val="28"/>
      <name val="Calibri"/>
      <family val="2"/>
    </font>
    <font>
      <b/>
      <sz val="16"/>
      <color theme="0"/>
      <name val="Calibri"/>
      <family val="2"/>
    </font>
    <font>
      <b/>
      <sz val="11"/>
      <color theme="0"/>
      <name val="Calibri"/>
      <family val="2"/>
    </font>
    <font>
      <sz val="12"/>
      <color theme="0"/>
      <name val="Calibri"/>
      <family val="2"/>
    </font>
  </fonts>
  <fills count="25">
    <fill>
      <patternFill patternType="none"/>
    </fill>
    <fill>
      <patternFill patternType="gray125"/>
    </fill>
    <fill>
      <patternFill patternType="solid">
        <fgColor rgb="FFCCFFCC"/>
        <bgColor rgb="FF000000"/>
      </patternFill>
    </fill>
    <fill>
      <patternFill patternType="solid">
        <fgColor rgb="FFFFFFCC"/>
        <bgColor rgb="FF000000"/>
      </patternFill>
    </fill>
    <fill>
      <patternFill patternType="solid">
        <fgColor rgb="FFFFFF00"/>
        <bgColor rgb="FF000000"/>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79998168889431442"/>
        <bgColor theme="4" tint="0.79998168889431442"/>
      </patternFill>
    </fill>
    <fill>
      <patternFill patternType="solid">
        <fgColor theme="9"/>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C6E0B4"/>
        <bgColor indexed="64"/>
      </patternFill>
    </fill>
    <fill>
      <patternFill patternType="solid">
        <fgColor rgb="FF553E97"/>
        <bgColor indexed="64"/>
      </patternFill>
    </fill>
    <fill>
      <patternFill patternType="solid">
        <fgColor rgb="FFA8A0F4"/>
        <bgColor indexed="64"/>
      </patternFill>
    </fill>
  </fills>
  <borders count="68">
    <border>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thin">
        <color theme="4" tint="0.39997558519241921"/>
      </top>
      <bottom style="thin">
        <color theme="4" tint="0.39997558519241921"/>
      </bottom>
      <diagonal/>
    </border>
    <border>
      <left style="medium">
        <color rgb="FFC6E0B4"/>
      </left>
      <right/>
      <top style="medium">
        <color rgb="FFC6E0B4"/>
      </top>
      <bottom/>
      <diagonal/>
    </border>
    <border>
      <left/>
      <right/>
      <top style="medium">
        <color rgb="FFC6E0B4"/>
      </top>
      <bottom/>
      <diagonal/>
    </border>
    <border>
      <left style="medium">
        <color rgb="FFC6E0B4"/>
      </left>
      <right/>
      <top/>
      <bottom style="medium">
        <color rgb="FFC6E0B4"/>
      </bottom>
      <diagonal/>
    </border>
    <border>
      <left/>
      <right/>
      <top/>
      <bottom style="medium">
        <color rgb="FFC6E0B4"/>
      </bottom>
      <diagonal/>
    </border>
    <border>
      <left/>
      <right style="medium">
        <color rgb="FFC6E0B4"/>
      </right>
      <top style="medium">
        <color rgb="FFC6E0B4"/>
      </top>
      <bottom/>
      <diagonal/>
    </border>
    <border>
      <left/>
      <right style="medium">
        <color rgb="FFC6E0B4"/>
      </right>
      <top/>
      <bottom style="medium">
        <color rgb="FFC6E0B4"/>
      </bottom>
      <diagonal/>
    </border>
    <border>
      <left/>
      <right/>
      <top/>
      <bottom style="thin">
        <color theme="4" tint="0.39997558519241921"/>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 fillId="0" borderId="0"/>
    <xf numFmtId="0" fontId="1" fillId="0" borderId="0"/>
    <xf numFmtId="0" fontId="1" fillId="0" borderId="0"/>
    <xf numFmtId="9" fontId="19" fillId="0" borderId="0" applyFont="0" applyFill="0" applyBorder="0" applyAlignment="0" applyProtection="0"/>
  </cellStyleXfs>
  <cellXfs count="484">
    <xf numFmtId="0" fontId="0" fillId="0" borderId="0" xfId="0"/>
    <xf numFmtId="0" fontId="3" fillId="0" borderId="1" xfId="0" applyFont="1" applyBorder="1" applyAlignment="1" applyProtection="1">
      <alignment horizontal="center"/>
      <protection hidden="1"/>
    </xf>
    <xf numFmtId="0" fontId="3" fillId="0" borderId="2" xfId="0" applyFont="1" applyBorder="1" applyProtection="1">
      <protection hidden="1"/>
    </xf>
    <xf numFmtId="0" fontId="3" fillId="0" borderId="3" xfId="0" applyFont="1" applyBorder="1" applyProtection="1">
      <protection hidden="1"/>
    </xf>
    <xf numFmtId="0" fontId="3" fillId="0" borderId="4"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4" fillId="0" borderId="6" xfId="7" applyFont="1" applyBorder="1" applyProtection="1">
      <protection hidden="1"/>
    </xf>
    <xf numFmtId="0" fontId="3" fillId="0" borderId="6" xfId="0" applyFont="1" applyBorder="1" applyProtection="1">
      <protection hidden="1"/>
    </xf>
    <xf numFmtId="0" fontId="3" fillId="0" borderId="1" xfId="0" applyFont="1" applyBorder="1" applyAlignment="1" applyProtection="1">
      <alignment horizontal="center" vertical="center"/>
      <protection hidden="1"/>
    </xf>
    <xf numFmtId="0" fontId="4" fillId="0" borderId="3" xfId="7" applyFont="1" applyBorder="1" applyAlignment="1" applyProtection="1">
      <alignment horizontal="left" vertical="center"/>
      <protection hidden="1"/>
    </xf>
    <xf numFmtId="0" fontId="3" fillId="0" borderId="3" xfId="0" applyFont="1" applyBorder="1" applyAlignment="1" applyProtection="1">
      <alignment horizontal="left" vertical="center"/>
      <protection hidden="1"/>
    </xf>
    <xf numFmtId="0" fontId="4" fillId="0" borderId="6" xfId="7" applyFont="1" applyBorder="1" applyAlignment="1" applyProtection="1">
      <alignment vertical="center"/>
      <protection hidden="1"/>
    </xf>
    <xf numFmtId="0" fontId="3" fillId="0" borderId="6" xfId="0" applyFont="1" applyBorder="1" applyAlignment="1" applyProtection="1">
      <alignment vertical="center"/>
      <protection hidden="1"/>
    </xf>
    <xf numFmtId="0" fontId="22" fillId="0" borderId="6" xfId="0" applyFont="1" applyBorder="1" applyAlignment="1" applyProtection="1">
      <alignment vertical="center"/>
      <protection hidden="1"/>
    </xf>
    <xf numFmtId="0" fontId="3" fillId="0" borderId="6" xfId="0" applyFont="1" applyBorder="1" applyAlignment="1" applyProtection="1">
      <alignment horizontal="right"/>
      <protection hidden="1"/>
    </xf>
    <xf numFmtId="0" fontId="3" fillId="0" borderId="4" xfId="0" applyFont="1" applyBorder="1" applyAlignment="1" applyProtection="1">
      <alignment horizontal="center" vertical="center"/>
      <protection hidden="1"/>
    </xf>
    <xf numFmtId="0" fontId="3" fillId="0" borderId="7" xfId="0" applyFont="1" applyBorder="1" applyAlignment="1" applyProtection="1">
      <alignment horizontal="center"/>
      <protection hidden="1"/>
    </xf>
    <xf numFmtId="0" fontId="4" fillId="0" borderId="8" xfId="7" applyFont="1" applyBorder="1" applyAlignment="1" applyProtection="1">
      <alignment vertical="center"/>
      <protection hidden="1"/>
    </xf>
    <xf numFmtId="0" fontId="3" fillId="0" borderId="8" xfId="0" applyFont="1" applyBorder="1" applyAlignment="1" applyProtection="1">
      <alignment vertical="center"/>
      <protection hidden="1"/>
    </xf>
    <xf numFmtId="0" fontId="22" fillId="0" borderId="8" xfId="0" applyFont="1" applyBorder="1" applyAlignment="1" applyProtection="1">
      <alignment vertical="center"/>
      <protection hidden="1"/>
    </xf>
    <xf numFmtId="0" fontId="3" fillId="0" borderId="7" xfId="0" applyFont="1" applyBorder="1" applyAlignment="1" applyProtection="1">
      <alignment horizontal="center" vertical="center"/>
      <protection hidden="1"/>
    </xf>
    <xf numFmtId="0" fontId="4" fillId="0" borderId="8" xfId="7" applyFont="1" applyBorder="1" applyAlignment="1" applyProtection="1">
      <alignment horizontal="left" vertical="center"/>
      <protection hidden="1"/>
    </xf>
    <xf numFmtId="0" fontId="23" fillId="0" borderId="9" xfId="0" applyFont="1" applyBorder="1" applyAlignment="1" applyProtection="1">
      <alignment vertical="center" wrapText="1"/>
      <protection hidden="1"/>
    </xf>
    <xf numFmtId="0" fontId="4" fillId="0" borderId="8" xfId="8" applyFont="1" applyBorder="1" applyAlignment="1" applyProtection="1">
      <alignment horizontal="left" vertical="center"/>
      <protection hidden="1"/>
    </xf>
    <xf numFmtId="0" fontId="3" fillId="0" borderId="8" xfId="0" applyFont="1" applyBorder="1" applyAlignment="1" applyProtection="1">
      <alignment horizontal="right"/>
      <protection hidden="1"/>
    </xf>
    <xf numFmtId="0" fontId="4" fillId="0" borderId="8" xfId="9" applyFont="1" applyBorder="1" applyAlignment="1" applyProtection="1">
      <alignment vertical="center"/>
      <protection hidden="1"/>
    </xf>
    <xf numFmtId="0" fontId="3" fillId="0" borderId="8" xfId="0" applyFont="1" applyBorder="1" applyAlignment="1" applyProtection="1">
      <alignment horizontal="right" vertical="center"/>
      <protection hidden="1"/>
    </xf>
    <xf numFmtId="0" fontId="5" fillId="0" borderId="8" xfId="0" applyFont="1" applyBorder="1" applyAlignment="1" applyProtection="1">
      <alignment vertical="center"/>
      <protection hidden="1"/>
    </xf>
    <xf numFmtId="0" fontId="5" fillId="0" borderId="8" xfId="0" applyFont="1" applyBorder="1" applyAlignment="1" applyProtection="1">
      <alignment horizontal="right"/>
      <protection hidden="1"/>
    </xf>
    <xf numFmtId="0" fontId="4" fillId="0" borderId="10" xfId="9" applyFont="1" applyBorder="1" applyAlignment="1" applyProtection="1">
      <alignment horizontal="left" vertical="top"/>
      <protection hidden="1"/>
    </xf>
    <xf numFmtId="0" fontId="3" fillId="0" borderId="8" xfId="0" applyFont="1" applyBorder="1" applyProtection="1">
      <protection hidden="1"/>
    </xf>
    <xf numFmtId="0" fontId="3" fillId="0" borderId="9" xfId="0" applyFont="1" applyBorder="1" applyAlignment="1" applyProtection="1">
      <alignment horizontal="right"/>
      <protection hidden="1"/>
    </xf>
    <xf numFmtId="0" fontId="4" fillId="0" borderId="8" xfId="9" applyFont="1" applyBorder="1" applyAlignment="1" applyProtection="1">
      <alignment horizontal="left" vertical="top"/>
      <protection hidden="1"/>
    </xf>
    <xf numFmtId="0" fontId="3" fillId="0" borderId="11" xfId="0" applyFont="1" applyBorder="1" applyAlignment="1" applyProtection="1">
      <alignment horizontal="center" vertical="center"/>
      <protection hidden="1"/>
    </xf>
    <xf numFmtId="171" fontId="7" fillId="0" borderId="0" xfId="2" applyNumberFormat="1" applyFont="1" applyFill="1" applyBorder="1" applyAlignment="1">
      <alignment horizontal="center"/>
    </xf>
    <xf numFmtId="0" fontId="8" fillId="0" borderId="0" xfId="5" quotePrefix="1" applyFont="1" applyAlignment="1">
      <alignment horizontal="center"/>
    </xf>
    <xf numFmtId="0" fontId="8" fillId="0" borderId="0" xfId="5" quotePrefix="1" applyFont="1"/>
    <xf numFmtId="0" fontId="8" fillId="0" borderId="0" xfId="0" quotePrefix="1" applyFont="1" applyAlignment="1">
      <alignment horizontal="center"/>
    </xf>
    <xf numFmtId="0" fontId="8" fillId="0" borderId="0" xfId="0" quotePrefix="1" applyFont="1"/>
    <xf numFmtId="0" fontId="8" fillId="0" borderId="0" xfId="6" quotePrefix="1" applyFont="1" applyAlignment="1">
      <alignment horizontal="center"/>
    </xf>
    <xf numFmtId="0" fontId="8" fillId="0" borderId="0" xfId="6" quotePrefix="1" applyFont="1"/>
    <xf numFmtId="0" fontId="9" fillId="0" borderId="0" xfId="6" quotePrefix="1" applyFont="1"/>
    <xf numFmtId="0" fontId="9" fillId="0" borderId="0" xfId="0" applyFont="1"/>
    <xf numFmtId="0" fontId="24" fillId="0" borderId="0" xfId="0" applyFont="1"/>
    <xf numFmtId="0" fontId="24" fillId="0" borderId="0" xfId="0" applyFont="1" applyAlignment="1">
      <alignment wrapText="1"/>
    </xf>
    <xf numFmtId="0" fontId="25" fillId="0" borderId="0" xfId="0" applyFont="1"/>
    <xf numFmtId="171" fontId="25" fillId="0" borderId="0" xfId="2" applyNumberFormat="1" applyFont="1" applyFill="1" applyBorder="1"/>
    <xf numFmtId="171" fontId="25" fillId="0" borderId="0" xfId="0" applyNumberFormat="1" applyFont="1" applyAlignment="1">
      <alignment horizontal="right"/>
    </xf>
    <xf numFmtId="0" fontId="26" fillId="0" borderId="4" xfId="5" applyFont="1" applyBorder="1" applyAlignment="1">
      <alignment horizontal="center"/>
    </xf>
    <xf numFmtId="0" fontId="25" fillId="0" borderId="0" xfId="0" applyFont="1" applyAlignment="1">
      <alignment horizontal="center"/>
    </xf>
    <xf numFmtId="0" fontId="26" fillId="0" borderId="0" xfId="5" applyFont="1" applyAlignment="1">
      <alignment horizontal="center"/>
    </xf>
    <xf numFmtId="0" fontId="2" fillId="0" borderId="12" xfId="5" applyFont="1" applyBorder="1" applyAlignment="1">
      <alignment horizontal="center"/>
    </xf>
    <xf numFmtId="0" fontId="27" fillId="0" borderId="0" xfId="0" applyFont="1" applyAlignment="1">
      <alignment horizontal="center"/>
    </xf>
    <xf numFmtId="0" fontId="28" fillId="0" borderId="12" xfId="5" applyFont="1" applyBorder="1" applyAlignment="1">
      <alignment horizontal="center"/>
    </xf>
    <xf numFmtId="49" fontId="29" fillId="2" borderId="4"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164" fontId="30" fillId="0" borderId="13" xfId="0" applyNumberFormat="1" applyFont="1" applyBorder="1"/>
    <xf numFmtId="0" fontId="24" fillId="0" borderId="0" xfId="0" quotePrefix="1" applyFont="1"/>
    <xf numFmtId="172" fontId="24" fillId="0" borderId="0" xfId="0" applyNumberFormat="1" applyFont="1"/>
    <xf numFmtId="171" fontId="24" fillId="0" borderId="0" xfId="2" applyNumberFormat="1" applyFont="1" applyFill="1" applyBorder="1"/>
    <xf numFmtId="171" fontId="24" fillId="0" borderId="0" xfId="2" applyNumberFormat="1" applyFont="1" applyFill="1" applyBorder="1" applyAlignment="1">
      <alignment horizontal="right"/>
    </xf>
    <xf numFmtId="0" fontId="24" fillId="0" borderId="0" xfId="0" quotePrefix="1" applyFont="1" applyAlignment="1">
      <alignment horizontal="center"/>
    </xf>
    <xf numFmtId="171" fontId="24" fillId="0" borderId="0" xfId="2" applyNumberFormat="1" applyFont="1" applyFill="1" applyBorder="1" applyAlignment="1">
      <alignment horizontal="center"/>
    </xf>
    <xf numFmtId="0" fontId="24" fillId="0" borderId="4" xfId="0" applyFont="1" applyBorder="1"/>
    <xf numFmtId="171" fontId="31" fillId="0" borderId="0" xfId="2" applyNumberFormat="1" applyFont="1" applyFill="1" applyBorder="1" applyAlignment="1">
      <alignment horizontal="center"/>
    </xf>
    <xf numFmtId="49" fontId="29" fillId="2" borderId="0" xfId="0" applyNumberFormat="1" applyFont="1" applyFill="1" applyAlignment="1">
      <alignment horizontal="center" vertical="center" wrapText="1"/>
    </xf>
    <xf numFmtId="10" fontId="30" fillId="0" borderId="14" xfId="0" applyNumberFormat="1" applyFont="1" applyBorder="1"/>
    <xf numFmtId="10" fontId="30" fillId="0" borderId="0" xfId="0" applyNumberFormat="1" applyFont="1"/>
    <xf numFmtId="0" fontId="24" fillId="0" borderId="0" xfId="0" applyFont="1" applyAlignment="1">
      <alignment horizontal="left"/>
    </xf>
    <xf numFmtId="171" fontId="24" fillId="0" borderId="0" xfId="2" applyNumberFormat="1" applyFont="1" applyFill="1" applyBorder="1" applyAlignment="1">
      <alignment horizontal="left"/>
    </xf>
    <xf numFmtId="171" fontId="24" fillId="0" borderId="0" xfId="0" applyNumberFormat="1" applyFont="1"/>
    <xf numFmtId="171" fontId="24" fillId="0" borderId="0" xfId="0" applyNumberFormat="1" applyFont="1" applyAlignment="1">
      <alignment horizontal="right"/>
    </xf>
    <xf numFmtId="0" fontId="31" fillId="0" borderId="54" xfId="5" applyFont="1" applyBorder="1" applyAlignment="1">
      <alignment horizontal="center" vertical="center" wrapText="1"/>
    </xf>
    <xf numFmtId="0" fontId="31" fillId="0" borderId="55" xfId="5" applyFont="1" applyBorder="1" applyAlignment="1">
      <alignment horizontal="center" vertical="center" wrapText="1"/>
    </xf>
    <xf numFmtId="0" fontId="24" fillId="0" borderId="0" xfId="0" applyFont="1" applyAlignment="1">
      <alignment horizontal="center"/>
    </xf>
    <xf numFmtId="6" fontId="31" fillId="0" borderId="56" xfId="5" applyNumberFormat="1" applyFont="1" applyBorder="1" applyAlignment="1">
      <alignment horizontal="center" vertical="center" wrapText="1"/>
    </xf>
    <xf numFmtId="171" fontId="8" fillId="0" borderId="0" xfId="3" quotePrefix="1" applyNumberFormat="1" applyFont="1" applyFill="1" applyBorder="1" applyAlignment="1">
      <alignment horizontal="center"/>
    </xf>
    <xf numFmtId="171" fontId="8" fillId="0" borderId="0" xfId="4" quotePrefix="1" applyNumberFormat="1" applyFont="1" applyFill="1" applyBorder="1" applyAlignment="1">
      <alignment horizontal="center"/>
    </xf>
    <xf numFmtId="0" fontId="9" fillId="0" borderId="0" xfId="0" quotePrefix="1" applyFont="1"/>
    <xf numFmtId="171" fontId="32" fillId="0" borderId="0" xfId="2" quotePrefix="1" applyNumberFormat="1" applyFont="1" applyFill="1" applyBorder="1" applyAlignment="1">
      <alignment horizontal="center"/>
    </xf>
    <xf numFmtId="171" fontId="33" fillId="0" borderId="0" xfId="2" quotePrefix="1" applyNumberFormat="1" applyFont="1" applyFill="1" applyBorder="1" applyAlignment="1">
      <alignment horizontal="center"/>
    </xf>
    <xf numFmtId="0" fontId="9" fillId="0" borderId="0" xfId="0" quotePrefix="1" applyFont="1" applyAlignment="1">
      <alignment horizontal="center"/>
    </xf>
    <xf numFmtId="0" fontId="31" fillId="0" borderId="57" xfId="5" applyFont="1" applyBorder="1" applyAlignment="1">
      <alignment horizontal="center" vertical="center" wrapText="1"/>
    </xf>
    <xf numFmtId="0" fontId="31" fillId="0" borderId="58" xfId="5" applyFont="1" applyBorder="1" applyAlignment="1">
      <alignment horizontal="center" vertical="center" wrapText="1"/>
    </xf>
    <xf numFmtId="6" fontId="31" fillId="0" borderId="59" xfId="5" applyNumberFormat="1" applyFont="1" applyBorder="1" applyAlignment="1">
      <alignment horizontal="center" vertical="center" wrapText="1"/>
    </xf>
    <xf numFmtId="0" fontId="31" fillId="4" borderId="54" xfId="5" applyFont="1" applyFill="1" applyBorder="1" applyAlignment="1">
      <alignment horizontal="center" vertical="center" wrapText="1"/>
    </xf>
    <xf numFmtId="0" fontId="31" fillId="4" borderId="55" xfId="5" applyFont="1" applyFill="1" applyBorder="1" applyAlignment="1">
      <alignment horizontal="center" vertical="center" wrapText="1"/>
    </xf>
    <xf numFmtId="6" fontId="31" fillId="4" borderId="56" xfId="5" applyNumberFormat="1" applyFont="1" applyFill="1" applyBorder="1" applyAlignment="1">
      <alignment horizontal="center" vertical="center" wrapText="1"/>
    </xf>
    <xf numFmtId="171" fontId="8" fillId="0" borderId="0" xfId="2" quotePrefix="1" applyNumberFormat="1" applyFont="1" applyFill="1" applyBorder="1" applyAlignment="1">
      <alignment horizontal="center"/>
    </xf>
    <xf numFmtId="0" fontId="34" fillId="0" borderId="0" xfId="0" applyFont="1"/>
    <xf numFmtId="0" fontId="0" fillId="5" borderId="0" xfId="0" applyFill="1" applyAlignment="1">
      <alignment vertical="center"/>
    </xf>
    <xf numFmtId="0" fontId="0" fillId="0" borderId="0" xfId="0" applyAlignment="1">
      <alignment vertical="center"/>
    </xf>
    <xf numFmtId="0" fontId="0" fillId="0" borderId="0" xfId="0" applyAlignment="1">
      <alignment wrapText="1"/>
    </xf>
    <xf numFmtId="0" fontId="34" fillId="0" borderId="0" xfId="0" applyFont="1" applyAlignment="1">
      <alignment wrapText="1"/>
    </xf>
    <xf numFmtId="0" fontId="35" fillId="0" borderId="0" xfId="0" applyFont="1"/>
    <xf numFmtId="0" fontId="34" fillId="5" borderId="2" xfId="0" applyFont="1" applyFill="1" applyBorder="1" applyAlignment="1">
      <alignment horizontal="left" vertical="center"/>
    </xf>
    <xf numFmtId="0" fontId="34" fillId="5" borderId="3" xfId="0" applyFont="1" applyFill="1" applyBorder="1" applyAlignment="1">
      <alignment horizontal="left" vertical="center"/>
    </xf>
    <xf numFmtId="0" fontId="34" fillId="5" borderId="13" xfId="0" applyFont="1" applyFill="1" applyBorder="1" applyAlignment="1">
      <alignment horizontal="left" vertical="center" wrapText="1"/>
    </xf>
    <xf numFmtId="0" fontId="34" fillId="5" borderId="10" xfId="0" applyFont="1" applyFill="1" applyBorder="1" applyAlignment="1">
      <alignment horizontal="left" vertical="top"/>
    </xf>
    <xf numFmtId="0" fontId="34" fillId="5" borderId="8" xfId="0" applyFont="1" applyFill="1" applyBorder="1" applyAlignment="1">
      <alignment horizontal="left" vertical="center"/>
    </xf>
    <xf numFmtId="0" fontId="34" fillId="5" borderId="9" xfId="0" applyFont="1" applyFill="1" applyBorder="1" applyAlignment="1">
      <alignment horizontal="left" vertical="center" wrapText="1"/>
    </xf>
    <xf numFmtId="0" fontId="36" fillId="6" borderId="4" xfId="0" applyFont="1" applyFill="1" applyBorder="1" applyAlignment="1">
      <alignment horizontal="center" vertical="center" wrapText="1"/>
    </xf>
    <xf numFmtId="0" fontId="37" fillId="7" borderId="4" xfId="0" applyFont="1" applyFill="1" applyBorder="1" applyAlignment="1">
      <alignment horizontal="left" vertical="center" wrapText="1"/>
    </xf>
    <xf numFmtId="0" fontId="35" fillId="0" borderId="4" xfId="0" applyFont="1" applyBorder="1" applyAlignment="1">
      <alignment horizontal="left" vertical="center" wrapText="1"/>
    </xf>
    <xf numFmtId="0" fontId="38" fillId="6" borderId="4" xfId="0" applyFont="1" applyFill="1" applyBorder="1" applyAlignment="1">
      <alignment horizontal="center" vertical="center" wrapText="1"/>
    </xf>
    <xf numFmtId="0" fontId="39" fillId="0" borderId="0" xfId="0" applyFont="1" applyProtection="1">
      <protection hidden="1"/>
    </xf>
    <xf numFmtId="0" fontId="4" fillId="0" borderId="8" xfId="7" applyFont="1" applyBorder="1" applyAlignment="1" applyProtection="1">
      <alignment horizontal="left"/>
      <protection hidden="1"/>
    </xf>
    <xf numFmtId="0" fontId="3" fillId="0" borderId="8" xfId="0" applyFont="1" applyBorder="1" applyAlignment="1" applyProtection="1">
      <alignment horizontal="left"/>
      <protection hidden="1"/>
    </xf>
    <xf numFmtId="0" fontId="4" fillId="0" borderId="8" xfId="8" applyFont="1" applyBorder="1" applyAlignment="1" applyProtection="1">
      <alignment horizontal="left"/>
      <protection hidden="1"/>
    </xf>
    <xf numFmtId="0" fontId="3" fillId="0" borderId="0" xfId="0" applyFont="1" applyAlignment="1" applyProtection="1">
      <alignment horizontal="left"/>
      <protection hidden="1"/>
    </xf>
    <xf numFmtId="0" fontId="40" fillId="0" borderId="0" xfId="0" applyFont="1" applyProtection="1">
      <protection hidden="1"/>
    </xf>
    <xf numFmtId="0" fontId="37" fillId="0" borderId="0" xfId="0" applyFont="1"/>
    <xf numFmtId="0" fontId="4" fillId="0" borderId="8" xfId="9" applyFont="1" applyBorder="1" applyAlignment="1" applyProtection="1">
      <alignment horizontal="left" vertical="top" wrapText="1"/>
      <protection hidden="1"/>
    </xf>
    <xf numFmtId="0" fontId="4" fillId="0" borderId="8" xfId="7" applyFont="1" applyBorder="1" applyAlignment="1" applyProtection="1">
      <alignment horizontal="left" vertical="top"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protection hidden="1"/>
    </xf>
    <xf numFmtId="10" fontId="3" fillId="7" borderId="16" xfId="0" applyNumberFormat="1" applyFont="1" applyFill="1" applyBorder="1" applyAlignment="1" applyProtection="1">
      <alignment horizontal="center" vertical="center"/>
      <protection locked="0" hidden="1"/>
    </xf>
    <xf numFmtId="165" fontId="3" fillId="7" borderId="16" xfId="0" applyNumberFormat="1" applyFont="1" applyFill="1" applyBorder="1" applyAlignment="1" applyProtection="1">
      <alignment horizontal="right"/>
      <protection locked="0" hidden="1"/>
    </xf>
    <xf numFmtId="165" fontId="3" fillId="7" borderId="16" xfId="0" applyNumberFormat="1" applyFont="1" applyFill="1" applyBorder="1" applyProtection="1">
      <protection locked="0" hidden="1"/>
    </xf>
    <xf numFmtId="0" fontId="43" fillId="0" borderId="0" xfId="0" applyFont="1" applyProtection="1">
      <protection hidden="1"/>
    </xf>
    <xf numFmtId="0" fontId="20" fillId="0" borderId="0" xfId="0" applyFont="1" applyProtection="1">
      <protection hidden="1"/>
    </xf>
    <xf numFmtId="0" fontId="20" fillId="0" borderId="0" xfId="0" applyFont="1" applyAlignment="1" applyProtection="1">
      <alignment wrapText="1"/>
      <protection hidden="1"/>
    </xf>
    <xf numFmtId="0" fontId="44" fillId="0" borderId="0" xfId="0" applyFont="1" applyProtection="1">
      <protection hidden="1"/>
    </xf>
    <xf numFmtId="0" fontId="45" fillId="0" borderId="0" xfId="0" applyFont="1" applyProtection="1">
      <protection hidden="1"/>
    </xf>
    <xf numFmtId="0" fontId="45" fillId="0" borderId="0" xfId="0" applyFont="1" applyAlignment="1" applyProtection="1">
      <alignment vertical="center"/>
      <protection hidden="1"/>
    </xf>
    <xf numFmtId="165" fontId="3" fillId="8" borderId="21" xfId="0" applyNumberFormat="1" applyFont="1" applyFill="1" applyBorder="1" applyProtection="1">
      <protection hidden="1"/>
    </xf>
    <xf numFmtId="165" fontId="3" fillId="8" borderId="22" xfId="0" applyNumberFormat="1" applyFont="1" applyFill="1" applyBorder="1" applyProtection="1">
      <protection hidden="1"/>
    </xf>
    <xf numFmtId="165" fontId="49" fillId="8" borderId="21" xfId="0" applyNumberFormat="1" applyFont="1" applyFill="1" applyBorder="1" applyProtection="1">
      <protection hidden="1"/>
    </xf>
    <xf numFmtId="165" fontId="49" fillId="8" borderId="23" xfId="0" applyNumberFormat="1" applyFont="1" applyFill="1" applyBorder="1" applyProtection="1">
      <protection hidden="1"/>
    </xf>
    <xf numFmtId="165" fontId="50" fillId="8" borderId="23" xfId="0" applyNumberFormat="1" applyFont="1" applyFill="1" applyBorder="1" applyProtection="1">
      <protection hidden="1"/>
    </xf>
    <xf numFmtId="165" fontId="3" fillId="8" borderId="21" xfId="0" applyNumberFormat="1" applyFont="1" applyFill="1" applyBorder="1" applyAlignment="1" applyProtection="1">
      <alignment horizontal="right"/>
      <protection hidden="1"/>
    </xf>
    <xf numFmtId="165" fontId="49" fillId="8" borderId="24" xfId="0" applyNumberFormat="1" applyFont="1" applyFill="1" applyBorder="1" applyProtection="1">
      <protection hidden="1"/>
    </xf>
    <xf numFmtId="165" fontId="3" fillId="8" borderId="21" xfId="0" applyNumberFormat="1" applyFont="1" applyFill="1" applyBorder="1" applyAlignment="1" applyProtection="1">
      <alignment horizontal="left"/>
      <protection hidden="1"/>
    </xf>
    <xf numFmtId="165" fontId="3" fillId="8" borderId="24" xfId="0" applyNumberFormat="1" applyFont="1" applyFill="1" applyBorder="1" applyAlignment="1" applyProtection="1">
      <alignment horizontal="left"/>
      <protection hidden="1"/>
    </xf>
    <xf numFmtId="165" fontId="3" fillId="8" borderId="24" xfId="0" applyNumberFormat="1" applyFont="1" applyFill="1" applyBorder="1" applyProtection="1">
      <protection hidden="1"/>
    </xf>
    <xf numFmtId="165" fontId="3" fillId="8" borderId="16" xfId="0" applyNumberFormat="1" applyFont="1" applyFill="1" applyBorder="1" applyProtection="1">
      <protection hidden="1"/>
    </xf>
    <xf numFmtId="165" fontId="3" fillId="8" borderId="4" xfId="0" applyNumberFormat="1" applyFont="1" applyFill="1" applyBorder="1" applyAlignment="1" applyProtection="1">
      <alignment horizontal="center"/>
      <protection hidden="1"/>
    </xf>
    <xf numFmtId="165" fontId="3" fillId="8" borderId="25" xfId="0" applyNumberFormat="1" applyFont="1" applyFill="1" applyBorder="1" applyAlignment="1" applyProtection="1">
      <alignment horizontal="left" vertical="center"/>
      <protection hidden="1"/>
    </xf>
    <xf numFmtId="0" fontId="46" fillId="0" borderId="0" xfId="0" applyFont="1" applyAlignment="1" applyProtection="1">
      <alignment horizontal="left" vertical="center"/>
      <protection hidden="1"/>
    </xf>
    <xf numFmtId="0" fontId="45" fillId="9" borderId="0" xfId="0" applyFont="1" applyFill="1" applyProtection="1">
      <protection hidden="1"/>
    </xf>
    <xf numFmtId="14" fontId="45" fillId="5" borderId="26" xfId="0" applyNumberFormat="1" applyFont="1" applyFill="1" applyBorder="1" applyAlignment="1" applyProtection="1">
      <alignment horizontal="left" vertical="center"/>
      <protection hidden="1"/>
    </xf>
    <xf numFmtId="0" fontId="45" fillId="0" borderId="27" xfId="0" applyFont="1" applyBorder="1" applyAlignment="1" applyProtection="1">
      <alignment vertical="center"/>
      <protection hidden="1"/>
    </xf>
    <xf numFmtId="0" fontId="52" fillId="0" borderId="27" xfId="0" applyFont="1" applyBorder="1" applyAlignment="1" applyProtection="1">
      <alignment horizontal="center" vertical="center"/>
      <protection hidden="1"/>
    </xf>
    <xf numFmtId="0" fontId="45" fillId="0" borderId="28" xfId="0" applyFont="1" applyBorder="1" applyAlignment="1" applyProtection="1">
      <alignment vertical="center"/>
      <protection hidden="1"/>
    </xf>
    <xf numFmtId="0" fontId="53" fillId="0" borderId="29" xfId="0" applyFont="1" applyBorder="1" applyAlignment="1" applyProtection="1">
      <alignment horizontal="right" vertical="center"/>
      <protection hidden="1"/>
    </xf>
    <xf numFmtId="0" fontId="45" fillId="0" borderId="30" xfId="0" applyFont="1" applyBorder="1" applyAlignment="1" applyProtection="1">
      <alignment vertical="center"/>
      <protection hidden="1"/>
    </xf>
    <xf numFmtId="0" fontId="45" fillId="0" borderId="6" xfId="0" applyFont="1" applyBorder="1" applyProtection="1">
      <protection hidden="1"/>
    </xf>
    <xf numFmtId="0" fontId="45" fillId="0" borderId="0" xfId="0" applyFont="1" applyAlignment="1" applyProtection="1">
      <alignment horizontal="center" vertical="center"/>
      <protection hidden="1"/>
    </xf>
    <xf numFmtId="0" fontId="54" fillId="0" borderId="0" xfId="0" applyFont="1" applyAlignment="1" applyProtection="1">
      <alignment horizontal="left" vertical="center" wrapText="1"/>
      <protection hidden="1"/>
    </xf>
    <xf numFmtId="0" fontId="45" fillId="0" borderId="29" xfId="0" applyFont="1" applyBorder="1" applyAlignment="1" applyProtection="1">
      <alignment vertical="center"/>
      <protection hidden="1"/>
    </xf>
    <xf numFmtId="0" fontId="45" fillId="0" borderId="29" xfId="0" applyFont="1" applyBorder="1" applyAlignment="1" applyProtection="1">
      <alignment horizontal="right" vertical="center" indent="1"/>
      <protection hidden="1"/>
    </xf>
    <xf numFmtId="0" fontId="55" fillId="0" borderId="0" xfId="0" applyFont="1" applyAlignment="1" applyProtection="1">
      <alignment vertical="center"/>
      <protection hidden="1"/>
    </xf>
    <xf numFmtId="0" fontId="45" fillId="0" borderId="0" xfId="0" applyFont="1" applyAlignment="1" applyProtection="1">
      <alignment horizontal="right" vertical="center" indent="1"/>
      <protection hidden="1"/>
    </xf>
    <xf numFmtId="10" fontId="42" fillId="0" borderId="30" xfId="10" applyNumberFormat="1" applyFont="1" applyBorder="1" applyAlignment="1" applyProtection="1">
      <alignment vertical="center"/>
      <protection hidden="1"/>
    </xf>
    <xf numFmtId="10" fontId="56" fillId="0" borderId="29" xfId="10" applyNumberFormat="1" applyFont="1" applyBorder="1" applyAlignment="1" applyProtection="1">
      <alignment vertical="center"/>
      <protection hidden="1"/>
    </xf>
    <xf numFmtId="0" fontId="56" fillId="0" borderId="30" xfId="0" applyFont="1" applyBorder="1" applyAlignment="1" applyProtection="1">
      <alignment vertical="center"/>
      <protection hidden="1"/>
    </xf>
    <xf numFmtId="2" fontId="57" fillId="0" borderId="8" xfId="0" applyNumberFormat="1" applyFont="1" applyBorder="1" applyAlignment="1" applyProtection="1">
      <alignment horizontal="center" vertical="center"/>
      <protection hidden="1"/>
    </xf>
    <xf numFmtId="0" fontId="45" fillId="10" borderId="3" xfId="0" applyFont="1" applyFill="1" applyBorder="1" applyAlignment="1" applyProtection="1">
      <alignment vertical="center"/>
      <protection hidden="1"/>
    </xf>
    <xf numFmtId="0" fontId="45" fillId="10" borderId="0" xfId="0" applyFont="1" applyFill="1" applyAlignment="1" applyProtection="1">
      <alignment vertical="center"/>
      <protection hidden="1"/>
    </xf>
    <xf numFmtId="1" fontId="57" fillId="8" borderId="4" xfId="0" applyNumberFormat="1" applyFont="1" applyFill="1" applyBorder="1" applyAlignment="1" applyProtection="1">
      <alignment horizontal="center" vertical="center"/>
      <protection hidden="1"/>
    </xf>
    <xf numFmtId="4" fontId="57" fillId="0" borderId="0" xfId="0" applyNumberFormat="1" applyFont="1" applyAlignment="1" applyProtection="1">
      <alignment horizontal="center" vertical="center"/>
      <protection hidden="1"/>
    </xf>
    <xf numFmtId="1" fontId="58" fillId="0" borderId="0" xfId="0" applyNumberFormat="1" applyFont="1" applyAlignment="1" applyProtection="1">
      <alignment horizontal="center" vertical="center"/>
      <protection hidden="1"/>
    </xf>
    <xf numFmtId="0" fontId="45" fillId="10" borderId="0" xfId="0" applyFont="1" applyFill="1" applyAlignment="1" applyProtection="1">
      <alignment horizontal="right" vertical="center" wrapText="1" indent="1"/>
      <protection hidden="1"/>
    </xf>
    <xf numFmtId="0" fontId="59" fillId="0" borderId="0" xfId="0" applyFont="1" applyAlignment="1" applyProtection="1">
      <alignment vertical="center"/>
      <protection hidden="1"/>
    </xf>
    <xf numFmtId="4" fontId="60" fillId="0" borderId="0" xfId="0" applyNumberFormat="1" applyFont="1" applyAlignment="1" applyProtection="1">
      <alignment horizontal="center" vertical="center"/>
      <protection hidden="1"/>
    </xf>
    <xf numFmtId="0" fontId="57" fillId="10" borderId="0" xfId="0" applyFont="1" applyFill="1" applyAlignment="1" applyProtection="1">
      <alignment vertical="center"/>
      <protection hidden="1"/>
    </xf>
    <xf numFmtId="0" fontId="57" fillId="10" borderId="0" xfId="0" applyFont="1" applyFill="1" applyAlignment="1" applyProtection="1">
      <alignment horizontal="left" vertical="center" indent="1"/>
      <protection hidden="1"/>
    </xf>
    <xf numFmtId="0" fontId="57" fillId="10" borderId="14" xfId="0" applyFont="1" applyFill="1" applyBorder="1" applyAlignment="1" applyProtection="1">
      <alignment horizontal="left" vertical="center" indent="1"/>
      <protection hidden="1"/>
    </xf>
    <xf numFmtId="0" fontId="53" fillId="10" borderId="0" xfId="0" applyFont="1" applyFill="1" applyProtection="1">
      <protection hidden="1"/>
    </xf>
    <xf numFmtId="0" fontId="45" fillId="0" borderId="29" xfId="0" applyFont="1" applyBorder="1" applyProtection="1">
      <protection hidden="1"/>
    </xf>
    <xf numFmtId="14" fontId="58" fillId="5" borderId="0" xfId="0" applyNumberFormat="1" applyFont="1" applyFill="1" applyAlignment="1" applyProtection="1">
      <alignment horizontal="center" vertical="center"/>
      <protection hidden="1"/>
    </xf>
    <xf numFmtId="0" fontId="58" fillId="0" borderId="0" xfId="0" applyFont="1" applyAlignment="1" applyProtection="1">
      <alignment vertical="center"/>
      <protection hidden="1"/>
    </xf>
    <xf numFmtId="0" fontId="45" fillId="10" borderId="6" xfId="0" applyFont="1" applyFill="1" applyBorder="1" applyAlignment="1" applyProtection="1">
      <alignment vertical="center"/>
      <protection hidden="1"/>
    </xf>
    <xf numFmtId="0" fontId="61" fillId="10" borderId="6" xfId="0" applyFont="1" applyFill="1" applyBorder="1" applyAlignment="1" applyProtection="1">
      <alignment horizontal="left" vertical="center" wrapText="1"/>
      <protection hidden="1"/>
    </xf>
    <xf numFmtId="0" fontId="57" fillId="0" borderId="0" xfId="0" applyFont="1" applyAlignment="1" applyProtection="1">
      <alignment vertical="center"/>
      <protection hidden="1"/>
    </xf>
    <xf numFmtId="0" fontId="62" fillId="0" borderId="29" xfId="0" applyFont="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57" fillId="0" borderId="30" xfId="0" applyFont="1" applyBorder="1" applyAlignment="1" applyProtection="1">
      <alignment vertical="center"/>
      <protection hidden="1"/>
    </xf>
    <xf numFmtId="0" fontId="45" fillId="0" borderId="29" xfId="0" applyFont="1" applyBorder="1" applyAlignment="1" applyProtection="1">
      <alignment horizontal="right" vertical="center"/>
      <protection hidden="1"/>
    </xf>
    <xf numFmtId="0" fontId="45" fillId="0" borderId="0" xfId="0" applyFont="1" applyAlignment="1" applyProtection="1">
      <alignment horizontal="right" vertical="center"/>
      <protection hidden="1"/>
    </xf>
    <xf numFmtId="0" fontId="55" fillId="0" borderId="0" xfId="0" applyFont="1" applyAlignment="1" applyProtection="1">
      <alignment horizontal="left" vertical="center"/>
      <protection hidden="1"/>
    </xf>
    <xf numFmtId="0" fontId="56" fillId="0" borderId="30" xfId="0" applyFont="1" applyBorder="1" applyAlignment="1" applyProtection="1">
      <alignment horizontal="left" vertical="center"/>
      <protection hidden="1"/>
    </xf>
    <xf numFmtId="0" fontId="55" fillId="0" borderId="0" xfId="0" applyFont="1" applyProtection="1">
      <protection hidden="1"/>
    </xf>
    <xf numFmtId="0" fontId="45" fillId="0" borderId="0" xfId="0" applyFont="1" applyAlignment="1" applyProtection="1">
      <alignment horizontal="center"/>
      <protection hidden="1"/>
    </xf>
    <xf numFmtId="0" fontId="45" fillId="5" borderId="0" xfId="0" applyFont="1" applyFill="1" applyAlignment="1" applyProtection="1">
      <alignment horizontal="right" vertical="center"/>
      <protection hidden="1"/>
    </xf>
    <xf numFmtId="0" fontId="55" fillId="5" borderId="0" xfId="0" applyFont="1" applyFill="1" applyAlignment="1" applyProtection="1">
      <alignment horizontal="left" vertical="center"/>
      <protection hidden="1"/>
    </xf>
    <xf numFmtId="0" fontId="56" fillId="10" borderId="0" xfId="0" applyFont="1" applyFill="1" applyAlignment="1" applyProtection="1">
      <alignment horizontal="center" vertical="center"/>
      <protection hidden="1"/>
    </xf>
    <xf numFmtId="0" fontId="56" fillId="10" borderId="0" xfId="0" applyFont="1" applyFill="1" applyAlignment="1" applyProtection="1">
      <alignment vertical="center"/>
      <protection hidden="1"/>
    </xf>
    <xf numFmtId="0" fontId="63" fillId="10" borderId="0" xfId="0" applyFont="1" applyFill="1" applyProtection="1">
      <protection hidden="1"/>
    </xf>
    <xf numFmtId="0" fontId="45" fillId="0" borderId="31" xfId="0" applyFont="1" applyBorder="1" applyAlignment="1" applyProtection="1">
      <alignment horizontal="right" vertical="center"/>
      <protection hidden="1"/>
    </xf>
    <xf numFmtId="0" fontId="57" fillId="0" borderId="32" xfId="0" applyFont="1" applyBorder="1" applyAlignment="1" applyProtection="1">
      <alignment vertical="center"/>
      <protection hidden="1"/>
    </xf>
    <xf numFmtId="0" fontId="56" fillId="0" borderId="0" xfId="0" applyFont="1" applyAlignment="1" applyProtection="1">
      <alignment vertical="center"/>
      <protection hidden="1"/>
    </xf>
    <xf numFmtId="0" fontId="45" fillId="0" borderId="33" xfId="0" applyFont="1" applyBorder="1" applyAlignment="1" applyProtection="1">
      <alignment vertical="center"/>
      <protection hidden="1"/>
    </xf>
    <xf numFmtId="0" fontId="57" fillId="0" borderId="27" xfId="0" applyFont="1" applyBorder="1" applyAlignment="1" applyProtection="1">
      <alignment vertical="center"/>
      <protection hidden="1"/>
    </xf>
    <xf numFmtId="0" fontId="64" fillId="0" borderId="0" xfId="0" applyFont="1" applyAlignment="1" applyProtection="1">
      <alignment vertical="center" wrapText="1"/>
      <protection hidden="1"/>
    </xf>
    <xf numFmtId="0" fontId="65" fillId="0" borderId="0" xfId="0" applyFont="1" applyAlignment="1" applyProtection="1">
      <alignment horizontal="center" vertical="top" wrapText="1"/>
      <protection hidden="1"/>
    </xf>
    <xf numFmtId="0" fontId="45" fillId="0" borderId="0" xfId="0" applyFont="1" applyAlignment="1" applyProtection="1">
      <alignment vertical="center" wrapText="1"/>
      <protection hidden="1"/>
    </xf>
    <xf numFmtId="0" fontId="66" fillId="0" borderId="0" xfId="0" applyFont="1" applyAlignment="1" applyProtection="1">
      <alignment horizontal="center" vertical="top"/>
      <protection hidden="1"/>
    </xf>
    <xf numFmtId="0" fontId="56" fillId="10" borderId="0" xfId="0" applyFont="1" applyFill="1" applyAlignment="1" applyProtection="1">
      <alignment horizontal="left" vertical="center" indent="1"/>
      <protection hidden="1"/>
    </xf>
    <xf numFmtId="0" fontId="58" fillId="10" borderId="0" xfId="0" applyFont="1" applyFill="1" applyAlignment="1" applyProtection="1">
      <alignment vertical="center"/>
      <protection hidden="1"/>
    </xf>
    <xf numFmtId="0" fontId="56" fillId="0" borderId="0" xfId="0" applyFont="1" applyAlignment="1" applyProtection="1">
      <alignment horizontal="right"/>
      <protection hidden="1"/>
    </xf>
    <xf numFmtId="0" fontId="45" fillId="11" borderId="2" xfId="0" applyFont="1" applyFill="1" applyBorder="1" applyProtection="1">
      <protection hidden="1"/>
    </xf>
    <xf numFmtId="0" fontId="58" fillId="11" borderId="3" xfId="0" applyFont="1" applyFill="1" applyBorder="1" applyAlignment="1" applyProtection="1">
      <alignment horizontal="center"/>
      <protection hidden="1"/>
    </xf>
    <xf numFmtId="0" fontId="45" fillId="11" borderId="13" xfId="0" applyFont="1" applyFill="1" applyBorder="1" applyProtection="1">
      <protection hidden="1"/>
    </xf>
    <xf numFmtId="0" fontId="45" fillId="7" borderId="2" xfId="0" applyFont="1" applyFill="1" applyBorder="1" applyProtection="1">
      <protection hidden="1"/>
    </xf>
    <xf numFmtId="0" fontId="58" fillId="7" borderId="3" xfId="0" applyFont="1" applyFill="1" applyBorder="1" applyAlignment="1" applyProtection="1">
      <alignment horizontal="center"/>
      <protection hidden="1"/>
    </xf>
    <xf numFmtId="0" fontId="45" fillId="7" borderId="13" xfId="0" applyFont="1" applyFill="1" applyBorder="1" applyProtection="1">
      <protection hidden="1"/>
    </xf>
    <xf numFmtId="0" fontId="45" fillId="11" borderId="34" xfId="0" applyFont="1" applyFill="1" applyBorder="1" applyProtection="1">
      <protection hidden="1"/>
    </xf>
    <xf numFmtId="0" fontId="45" fillId="11" borderId="6" xfId="0" applyFont="1" applyFill="1" applyBorder="1" applyProtection="1">
      <protection hidden="1"/>
    </xf>
    <xf numFmtId="0" fontId="45" fillId="11" borderId="35" xfId="0" applyFont="1" applyFill="1" applyBorder="1" applyProtection="1">
      <protection hidden="1"/>
    </xf>
    <xf numFmtId="0" fontId="45" fillId="7" borderId="36" xfId="0" applyFont="1" applyFill="1" applyBorder="1" applyProtection="1">
      <protection hidden="1"/>
    </xf>
    <xf numFmtId="0" fontId="56" fillId="7" borderId="3" xfId="0" applyFont="1" applyFill="1" applyBorder="1" applyAlignment="1" applyProtection="1">
      <alignment vertical="center"/>
      <protection hidden="1"/>
    </xf>
    <xf numFmtId="0" fontId="45" fillId="7" borderId="14" xfId="0" applyFont="1" applyFill="1" applyBorder="1" applyAlignment="1" applyProtection="1">
      <alignment horizontal="center"/>
      <protection hidden="1"/>
    </xf>
    <xf numFmtId="1" fontId="45" fillId="0" borderId="0" xfId="0" applyNumberFormat="1" applyFont="1" applyProtection="1">
      <protection hidden="1"/>
    </xf>
    <xf numFmtId="0" fontId="58" fillId="0" borderId="0" xfId="0" applyFont="1" applyProtection="1">
      <protection hidden="1"/>
    </xf>
    <xf numFmtId="0" fontId="56" fillId="7" borderId="0" xfId="0" applyFont="1" applyFill="1" applyAlignment="1" applyProtection="1">
      <alignment horizontal="right" vertical="center"/>
      <protection hidden="1"/>
    </xf>
    <xf numFmtId="0" fontId="56" fillId="12" borderId="3" xfId="0" applyFont="1" applyFill="1" applyBorder="1" applyAlignment="1" applyProtection="1">
      <alignment vertical="center"/>
      <protection hidden="1"/>
    </xf>
    <xf numFmtId="2" fontId="56" fillId="12" borderId="13" xfId="0" applyNumberFormat="1" applyFont="1" applyFill="1" applyBorder="1" applyAlignment="1" applyProtection="1">
      <alignment horizontal="right" vertical="center"/>
      <protection hidden="1"/>
    </xf>
    <xf numFmtId="0" fontId="56" fillId="12" borderId="13" xfId="0" applyFont="1" applyFill="1" applyBorder="1" applyAlignment="1" applyProtection="1">
      <alignment horizontal="right" vertical="center"/>
      <protection hidden="1"/>
    </xf>
    <xf numFmtId="14" fontId="56" fillId="0" borderId="0" xfId="0" applyNumberFormat="1" applyFont="1" applyAlignment="1" applyProtection="1">
      <alignment vertical="center"/>
      <protection hidden="1"/>
    </xf>
    <xf numFmtId="0" fontId="56" fillId="12" borderId="2" xfId="0" applyFont="1" applyFill="1" applyBorder="1" applyAlignment="1" applyProtection="1">
      <alignment vertical="center"/>
      <protection hidden="1"/>
    </xf>
    <xf numFmtId="0" fontId="56" fillId="12" borderId="0" xfId="0" applyFont="1" applyFill="1" applyAlignment="1" applyProtection="1">
      <alignment vertical="center"/>
      <protection hidden="1"/>
    </xf>
    <xf numFmtId="2" fontId="56" fillId="12" borderId="14" xfId="0" applyNumberFormat="1" applyFont="1" applyFill="1" applyBorder="1" applyAlignment="1" applyProtection="1">
      <alignment vertical="center"/>
      <protection hidden="1"/>
    </xf>
    <xf numFmtId="0" fontId="56" fillId="12" borderId="14" xfId="0" applyFont="1" applyFill="1" applyBorder="1" applyAlignment="1" applyProtection="1">
      <alignment vertical="center"/>
      <protection hidden="1"/>
    </xf>
    <xf numFmtId="0" fontId="56" fillId="12" borderId="36" xfId="0" applyFont="1" applyFill="1" applyBorder="1" applyAlignment="1" applyProtection="1">
      <alignment horizontal="center" vertical="center"/>
      <protection hidden="1"/>
    </xf>
    <xf numFmtId="0" fontId="57" fillId="7" borderId="14" xfId="0" applyFont="1" applyFill="1" applyBorder="1" applyAlignment="1" applyProtection="1">
      <alignment horizontal="center"/>
      <protection hidden="1"/>
    </xf>
    <xf numFmtId="0" fontId="56" fillId="12" borderId="36" xfId="0" applyFont="1" applyFill="1" applyBorder="1" applyAlignment="1" applyProtection="1">
      <alignment vertical="center"/>
      <protection hidden="1"/>
    </xf>
    <xf numFmtId="0" fontId="45" fillId="7" borderId="34" xfId="0" applyFont="1" applyFill="1" applyBorder="1" applyProtection="1">
      <protection hidden="1"/>
    </xf>
    <xf numFmtId="0" fontId="56" fillId="7" borderId="6" xfId="0" applyFont="1" applyFill="1" applyBorder="1" applyAlignment="1" applyProtection="1">
      <alignment horizontal="right" vertical="center"/>
      <protection hidden="1"/>
    </xf>
    <xf numFmtId="0" fontId="45" fillId="7" borderId="35" xfId="0" applyFont="1" applyFill="1" applyBorder="1" applyAlignment="1" applyProtection="1">
      <alignment horizontal="center"/>
      <protection hidden="1"/>
    </xf>
    <xf numFmtId="0" fontId="63" fillId="0" borderId="0" xfId="0" applyFont="1" applyAlignment="1" applyProtection="1">
      <alignment horizontal="right"/>
      <protection hidden="1"/>
    </xf>
    <xf numFmtId="0" fontId="56" fillId="12" borderId="34" xfId="0" applyFont="1" applyFill="1" applyBorder="1" applyAlignment="1" applyProtection="1">
      <alignment vertical="center"/>
      <protection hidden="1"/>
    </xf>
    <xf numFmtId="173" fontId="45" fillId="0" borderId="0" xfId="0" applyNumberFormat="1" applyFont="1" applyProtection="1">
      <protection hidden="1"/>
    </xf>
    <xf numFmtId="0" fontId="56" fillId="12" borderId="6" xfId="0" applyFont="1" applyFill="1" applyBorder="1" applyAlignment="1" applyProtection="1">
      <alignment vertical="center"/>
      <protection hidden="1"/>
    </xf>
    <xf numFmtId="2" fontId="56" fillId="12" borderId="35" xfId="0" applyNumberFormat="1" applyFont="1" applyFill="1" applyBorder="1" applyAlignment="1" applyProtection="1">
      <alignment vertical="center"/>
      <protection hidden="1"/>
    </xf>
    <xf numFmtId="0" fontId="56" fillId="12" borderId="35" xfId="0" applyFont="1" applyFill="1" applyBorder="1" applyAlignment="1" applyProtection="1">
      <alignment vertical="center"/>
      <protection hidden="1"/>
    </xf>
    <xf numFmtId="2" fontId="56" fillId="0" borderId="0" xfId="0" applyNumberFormat="1" applyFont="1" applyAlignment="1" applyProtection="1">
      <alignment vertical="center"/>
      <protection hidden="1"/>
    </xf>
    <xf numFmtId="2" fontId="57" fillId="13" borderId="0" xfId="0" applyNumberFormat="1" applyFont="1" applyFill="1" applyAlignment="1" applyProtection="1">
      <alignment vertical="center"/>
      <protection hidden="1"/>
    </xf>
    <xf numFmtId="2" fontId="58" fillId="13" borderId="0" xfId="0" applyNumberFormat="1" applyFont="1" applyFill="1" applyAlignment="1" applyProtection="1">
      <alignment vertical="center"/>
      <protection hidden="1"/>
    </xf>
    <xf numFmtId="2" fontId="45" fillId="13" borderId="0" xfId="0" applyNumberFormat="1" applyFont="1" applyFill="1" applyProtection="1">
      <protection hidden="1"/>
    </xf>
    <xf numFmtId="0" fontId="45" fillId="13" borderId="0" xfId="0" applyFont="1" applyFill="1" applyProtection="1">
      <protection hidden="1"/>
    </xf>
    <xf numFmtId="0" fontId="63" fillId="12" borderId="0" xfId="0" applyFont="1" applyFill="1" applyAlignment="1" applyProtection="1">
      <alignment vertical="center"/>
      <protection hidden="1"/>
    </xf>
    <xf numFmtId="0" fontId="63" fillId="0" borderId="0" xfId="0" applyFont="1" applyProtection="1">
      <protection hidden="1"/>
    </xf>
    <xf numFmtId="0" fontId="45" fillId="14" borderId="0" xfId="0" applyFont="1" applyFill="1" applyProtection="1">
      <protection hidden="1"/>
    </xf>
    <xf numFmtId="1" fontId="57" fillId="13" borderId="0" xfId="0" applyNumberFormat="1" applyFont="1" applyFill="1" applyAlignment="1" applyProtection="1">
      <alignment vertical="center"/>
      <protection hidden="1"/>
    </xf>
    <xf numFmtId="1" fontId="45" fillId="13" borderId="0" xfId="0" applyNumberFormat="1" applyFont="1" applyFill="1" applyProtection="1">
      <protection hidden="1"/>
    </xf>
    <xf numFmtId="0" fontId="57" fillId="13" borderId="0" xfId="0" applyFont="1" applyFill="1" applyProtection="1">
      <protection hidden="1"/>
    </xf>
    <xf numFmtId="1" fontId="57" fillId="0" borderId="0" xfId="0" applyNumberFormat="1" applyFont="1" applyAlignment="1" applyProtection="1">
      <alignment vertical="center"/>
      <protection hidden="1"/>
    </xf>
    <xf numFmtId="0" fontId="67" fillId="0" borderId="0" xfId="0" applyFont="1" applyAlignment="1" applyProtection="1">
      <alignment vertical="center"/>
      <protection hidden="1"/>
    </xf>
    <xf numFmtId="14" fontId="58" fillId="0" borderId="0" xfId="0" applyNumberFormat="1" applyFont="1" applyAlignment="1" applyProtection="1">
      <alignment vertical="center"/>
      <protection hidden="1"/>
    </xf>
    <xf numFmtId="0" fontId="57" fillId="0" borderId="0" xfId="0" applyFont="1" applyAlignment="1" applyProtection="1">
      <alignment horizontal="right" vertical="center"/>
      <protection hidden="1"/>
    </xf>
    <xf numFmtId="14" fontId="58" fillId="15" borderId="0" xfId="0" applyNumberFormat="1" applyFont="1" applyFill="1" applyAlignment="1" applyProtection="1">
      <alignment vertical="center"/>
      <protection hidden="1"/>
    </xf>
    <xf numFmtId="2" fontId="45" fillId="0" borderId="0" xfId="0" applyNumberFormat="1" applyFont="1" applyAlignment="1" applyProtection="1">
      <alignment vertical="center"/>
      <protection hidden="1"/>
    </xf>
    <xf numFmtId="175" fontId="56" fillId="0" borderId="0" xfId="0" applyNumberFormat="1" applyFont="1" applyProtection="1">
      <protection hidden="1"/>
    </xf>
    <xf numFmtId="4" fontId="45" fillId="0" borderId="0" xfId="0" applyNumberFormat="1" applyFont="1" applyAlignment="1" applyProtection="1">
      <alignment vertical="center"/>
      <protection hidden="1"/>
    </xf>
    <xf numFmtId="173" fontId="57" fillId="16" borderId="4" xfId="0" applyNumberFormat="1" applyFont="1" applyFill="1" applyBorder="1" applyAlignment="1" applyProtection="1">
      <alignment horizontal="center" vertical="center"/>
      <protection locked="0" hidden="1"/>
    </xf>
    <xf numFmtId="0" fontId="57" fillId="16" borderId="4" xfId="0" applyFont="1" applyFill="1" applyBorder="1" applyAlignment="1" applyProtection="1">
      <alignment horizontal="center" vertical="center"/>
      <protection locked="0" hidden="1"/>
    </xf>
    <xf numFmtId="2" fontId="57" fillId="16" borderId="4" xfId="0" applyNumberFormat="1" applyFont="1" applyFill="1" applyBorder="1" applyAlignment="1" applyProtection="1">
      <alignment horizontal="center" vertical="center"/>
      <protection locked="0" hidden="1"/>
    </xf>
    <xf numFmtId="1" fontId="57" fillId="16" borderId="4" xfId="0" applyNumberFormat="1" applyFont="1" applyFill="1" applyBorder="1" applyAlignment="1" applyProtection="1">
      <alignment horizontal="center" vertical="center"/>
      <protection locked="0" hidden="1"/>
    </xf>
    <xf numFmtId="14" fontId="57" fillId="16" borderId="4" xfId="0" applyNumberFormat="1" applyFont="1" applyFill="1" applyBorder="1" applyAlignment="1" applyProtection="1">
      <alignment horizontal="center" vertical="center"/>
      <protection locked="0" hidden="1"/>
    </xf>
    <xf numFmtId="4" fontId="57" fillId="16" borderId="4" xfId="0" applyNumberFormat="1" applyFont="1" applyFill="1" applyBorder="1" applyAlignment="1" applyProtection="1">
      <alignment horizontal="center" vertical="center"/>
      <protection locked="0" hidden="1"/>
    </xf>
    <xf numFmtId="3" fontId="57" fillId="16" borderId="4" xfId="0" applyNumberFormat="1" applyFont="1" applyFill="1" applyBorder="1" applyAlignment="1" applyProtection="1">
      <alignment horizontal="center" vertical="center"/>
      <protection locked="0" hidden="1"/>
    </xf>
    <xf numFmtId="49" fontId="29" fillId="3" borderId="0" xfId="0" applyNumberFormat="1" applyFont="1" applyFill="1" applyAlignment="1">
      <alignment horizontal="center" vertical="center" wrapText="1"/>
    </xf>
    <xf numFmtId="0" fontId="8" fillId="17" borderId="60" xfId="0" quotePrefix="1" applyFont="1" applyFill="1" applyBorder="1"/>
    <xf numFmtId="0" fontId="8" fillId="17" borderId="60" xfId="0" quotePrefix="1" applyFont="1" applyFill="1" applyBorder="1" applyAlignment="1">
      <alignment horizontal="center"/>
    </xf>
    <xf numFmtId="171" fontId="68" fillId="17" borderId="60" xfId="2" quotePrefix="1" applyNumberFormat="1" applyFont="1" applyFill="1" applyBorder="1" applyAlignment="1">
      <alignment horizontal="center"/>
    </xf>
    <xf numFmtId="0" fontId="8" fillId="0" borderId="60" xfId="0" quotePrefix="1" applyFont="1" applyBorder="1"/>
    <xf numFmtId="0" fontId="8" fillId="0" borderId="60" xfId="0" quotePrefix="1" applyFont="1" applyBorder="1" applyAlignment="1">
      <alignment horizontal="center"/>
    </xf>
    <xf numFmtId="171" fontId="68" fillId="0" borderId="60" xfId="2" quotePrefix="1" applyNumberFormat="1" applyFont="1" applyBorder="1" applyAlignment="1">
      <alignment horizontal="center"/>
    </xf>
    <xf numFmtId="6" fontId="24" fillId="0" borderId="0" xfId="0" applyNumberFormat="1" applyFont="1"/>
    <xf numFmtId="49" fontId="29" fillId="3" borderId="0" xfId="0" applyNumberFormat="1" applyFont="1" applyFill="1" applyAlignment="1">
      <alignment vertical="center" wrapText="1"/>
    </xf>
    <xf numFmtId="0" fontId="24" fillId="0" borderId="0" xfId="0" applyFont="1" applyAlignment="1">
      <alignment horizontal="center" vertical="center"/>
    </xf>
    <xf numFmtId="0" fontId="69" fillId="0" borderId="0" xfId="0" applyFont="1" applyAlignment="1" applyProtection="1">
      <alignment vertical="center"/>
      <protection hidden="1"/>
    </xf>
    <xf numFmtId="0" fontId="70" fillId="0" borderId="0" xfId="0" applyFont="1" applyProtection="1">
      <protection hidden="1"/>
    </xf>
    <xf numFmtId="168" fontId="69" fillId="0" borderId="9" xfId="10" applyNumberFormat="1" applyFont="1" applyBorder="1" applyAlignment="1" applyProtection="1">
      <alignment horizontal="left"/>
      <protection hidden="1"/>
    </xf>
    <xf numFmtId="0" fontId="69" fillId="0" borderId="36" xfId="0" applyFont="1" applyBorder="1" applyAlignment="1" applyProtection="1">
      <alignment vertical="center"/>
      <protection hidden="1"/>
    </xf>
    <xf numFmtId="168" fontId="69" fillId="0" borderId="0" xfId="10" applyNumberFormat="1" applyFont="1" applyBorder="1" applyAlignment="1" applyProtection="1">
      <alignment horizontal="left"/>
      <protection hidden="1"/>
    </xf>
    <xf numFmtId="0" fontId="69" fillId="0" borderId="0" xfId="0" applyFont="1" applyAlignment="1" applyProtection="1">
      <alignment horizontal="left"/>
      <protection hidden="1"/>
    </xf>
    <xf numFmtId="168" fontId="69" fillId="0" borderId="4" xfId="0" applyNumberFormat="1" applyFont="1" applyBorder="1" applyAlignment="1" applyProtection="1">
      <alignment horizontal="left"/>
      <protection hidden="1"/>
    </xf>
    <xf numFmtId="169" fontId="69" fillId="0" borderId="0" xfId="0" applyNumberFormat="1" applyFont="1" applyAlignment="1" applyProtection="1">
      <alignment horizontal="center"/>
      <protection hidden="1"/>
    </xf>
    <xf numFmtId="170" fontId="69" fillId="0" borderId="0" xfId="2" applyNumberFormat="1" applyFont="1" applyBorder="1" applyAlignment="1" applyProtection="1">
      <alignment vertical="top" wrapText="1"/>
      <protection hidden="1"/>
    </xf>
    <xf numFmtId="170" fontId="69" fillId="0" borderId="0" xfId="2" applyNumberFormat="1" applyFont="1" applyBorder="1" applyAlignment="1" applyProtection="1">
      <alignment horizontal="left" vertical="top" wrapText="1"/>
      <protection hidden="1"/>
    </xf>
    <xf numFmtId="0" fontId="71" fillId="0" borderId="0" xfId="0" applyFont="1" applyAlignment="1" applyProtection="1">
      <alignment horizontal="left"/>
      <protection hidden="1"/>
    </xf>
    <xf numFmtId="0" fontId="78" fillId="0" borderId="0" xfId="0" applyFont="1" applyAlignment="1" applyProtection="1">
      <alignment horizontal="left" vertical="center"/>
      <protection hidden="1"/>
    </xf>
    <xf numFmtId="0" fontId="42" fillId="0" borderId="0" xfId="0" applyFont="1" applyProtection="1">
      <protection hidden="1"/>
    </xf>
    <xf numFmtId="0" fontId="41" fillId="0" borderId="0" xfId="0" applyFont="1" applyProtection="1">
      <protection hidden="1"/>
    </xf>
    <xf numFmtId="0" fontId="41" fillId="0" borderId="0" xfId="0" applyFont="1" applyAlignment="1" applyProtection="1">
      <alignment horizontal="left" vertical="center"/>
      <protection hidden="1"/>
    </xf>
    <xf numFmtId="10" fontId="42" fillId="0" borderId="0" xfId="0" applyNumberFormat="1" applyFont="1" applyProtection="1">
      <protection hidden="1"/>
    </xf>
    <xf numFmtId="170" fontId="69" fillId="0" borderId="0" xfId="2" applyNumberFormat="1" applyFont="1" applyFill="1" applyBorder="1" applyAlignment="1" applyProtection="1">
      <alignment vertical="top" wrapText="1"/>
      <protection hidden="1"/>
    </xf>
    <xf numFmtId="170" fontId="69" fillId="0" borderId="0" xfId="2" applyNumberFormat="1" applyFont="1" applyFill="1" applyBorder="1" applyAlignment="1" applyProtection="1">
      <alignment horizontal="left" vertical="top" wrapText="1"/>
      <protection hidden="1"/>
    </xf>
    <xf numFmtId="0" fontId="46" fillId="23" borderId="17" xfId="0" applyFont="1" applyFill="1" applyBorder="1" applyProtection="1">
      <protection hidden="1"/>
    </xf>
    <xf numFmtId="0" fontId="46" fillId="23" borderId="8" xfId="0" applyFont="1" applyFill="1" applyBorder="1" applyProtection="1">
      <protection hidden="1"/>
    </xf>
    <xf numFmtId="165" fontId="41" fillId="23" borderId="18" xfId="0" applyNumberFormat="1" applyFont="1" applyFill="1" applyBorder="1" applyProtection="1">
      <protection hidden="1"/>
    </xf>
    <xf numFmtId="0" fontId="46" fillId="23" borderId="6" xfId="0" applyFont="1" applyFill="1" applyBorder="1" applyProtection="1">
      <protection hidden="1"/>
    </xf>
    <xf numFmtId="44" fontId="41" fillId="23" borderId="20" xfId="0" applyNumberFormat="1" applyFont="1" applyFill="1" applyBorder="1" applyProtection="1">
      <protection hidden="1"/>
    </xf>
    <xf numFmtId="0" fontId="41" fillId="23" borderId="8" xfId="0" applyFont="1" applyFill="1" applyBorder="1" applyProtection="1">
      <protection hidden="1"/>
    </xf>
    <xf numFmtId="165" fontId="41" fillId="23" borderId="19" xfId="0" applyNumberFormat="1" applyFont="1" applyFill="1" applyBorder="1" applyProtection="1">
      <protection hidden="1"/>
    </xf>
    <xf numFmtId="0" fontId="46" fillId="23" borderId="7" xfId="0" applyFont="1" applyFill="1" applyBorder="1" applyProtection="1">
      <protection hidden="1"/>
    </xf>
    <xf numFmtId="0" fontId="46" fillId="23" borderId="8" xfId="9" applyFont="1" applyFill="1" applyBorder="1" applyProtection="1">
      <protection hidden="1"/>
    </xf>
    <xf numFmtId="0" fontId="51" fillId="23" borderId="0" xfId="0" applyFont="1" applyFill="1" applyAlignment="1" applyProtection="1">
      <alignment horizontal="left" vertical="center" indent="2"/>
      <protection hidden="1"/>
    </xf>
    <xf numFmtId="0" fontId="20" fillId="24" borderId="0" xfId="0" applyFont="1" applyFill="1" applyAlignment="1" applyProtection="1">
      <alignment vertical="center"/>
      <protection hidden="1"/>
    </xf>
    <xf numFmtId="0" fontId="47" fillId="23" borderId="0" xfId="0" applyFont="1" applyFill="1" applyAlignment="1">
      <alignment horizontal="center" vertical="center" wrapText="1"/>
    </xf>
    <xf numFmtId="0" fontId="48" fillId="23" borderId="4" xfId="0" applyFont="1" applyFill="1" applyBorder="1" applyAlignment="1">
      <alignment horizontal="center" wrapText="1"/>
    </xf>
    <xf numFmtId="0" fontId="56" fillId="0" borderId="0" xfId="0" applyFont="1" applyProtection="1">
      <protection hidden="1"/>
    </xf>
    <xf numFmtId="164" fontId="3" fillId="7" borderId="15" xfId="0" applyNumberFormat="1" applyFont="1" applyFill="1" applyBorder="1" applyAlignment="1" applyProtection="1">
      <alignment horizontal="center"/>
      <protection locked="0"/>
    </xf>
    <xf numFmtId="0" fontId="4" fillId="0" borderId="0" xfId="0" applyFont="1" applyAlignment="1" applyProtection="1">
      <alignment vertical="center"/>
      <protection hidden="1"/>
    </xf>
    <xf numFmtId="170" fontId="4" fillId="0" borderId="0" xfId="2" applyNumberFormat="1" applyFont="1" applyFill="1" applyBorder="1" applyAlignment="1" applyProtection="1">
      <alignment horizontal="left" vertical="top" wrapText="1"/>
      <protection hidden="1"/>
    </xf>
    <xf numFmtId="14" fontId="20" fillId="0" borderId="0" xfId="0" applyNumberFormat="1" applyFont="1" applyProtection="1">
      <protection locked="0" hidden="1"/>
    </xf>
    <xf numFmtId="0" fontId="20" fillId="0" borderId="0" xfId="0" applyFont="1" applyAlignment="1" applyProtection="1">
      <alignment horizontal="center"/>
      <protection hidden="1"/>
    </xf>
    <xf numFmtId="166" fontId="41" fillId="0" borderId="0" xfId="10" applyNumberFormat="1" applyFont="1" applyFill="1" applyBorder="1" applyProtection="1">
      <protection hidden="1"/>
    </xf>
    <xf numFmtId="44" fontId="41" fillId="0" borderId="0" xfId="0" applyNumberFormat="1" applyFont="1" applyProtection="1">
      <protection hidden="1"/>
    </xf>
    <xf numFmtId="167" fontId="41" fillId="0" borderId="0" xfId="0" applyNumberFormat="1" applyFont="1" applyProtection="1">
      <protection hidden="1"/>
    </xf>
    <xf numFmtId="0" fontId="42" fillId="0" borderId="0" xfId="0" applyFont="1" applyAlignment="1" applyProtection="1">
      <alignment horizontal="center" vertical="center"/>
      <protection locked="0"/>
    </xf>
    <xf numFmtId="0" fontId="41" fillId="0" borderId="0" xfId="0" applyFont="1" applyAlignment="1" applyProtection="1">
      <alignment horizontal="left" vertical="top"/>
      <protection hidden="1"/>
    </xf>
    <xf numFmtId="166" fontId="82" fillId="0" borderId="0" xfId="0" applyNumberFormat="1" applyFont="1" applyAlignment="1" applyProtection="1">
      <alignment vertical="center"/>
      <protection hidden="1"/>
    </xf>
    <xf numFmtId="169" fontId="41" fillId="0" borderId="0" xfId="0" applyNumberFormat="1" applyFont="1" applyAlignment="1" applyProtection="1">
      <alignment horizontal="left"/>
      <protection hidden="1"/>
    </xf>
    <xf numFmtId="169" fontId="41" fillId="0" borderId="0" xfId="0" applyNumberFormat="1" applyFont="1" applyAlignment="1" applyProtection="1">
      <alignment horizontal="center"/>
      <protection hidden="1"/>
    </xf>
    <xf numFmtId="166" fontId="82" fillId="0" borderId="0" xfId="0" applyNumberFormat="1" applyFont="1" applyProtection="1">
      <protection hidden="1"/>
    </xf>
    <xf numFmtId="170" fontId="41" fillId="0" borderId="0" xfId="2" applyNumberFormat="1" applyFont="1" applyFill="1" applyBorder="1" applyAlignment="1" applyProtection="1">
      <alignment vertical="top" wrapText="1"/>
      <protection hidden="1"/>
    </xf>
    <xf numFmtId="44" fontId="82" fillId="0" borderId="0" xfId="0" applyNumberFormat="1" applyFont="1" applyProtection="1">
      <protection hidden="1"/>
    </xf>
    <xf numFmtId="0" fontId="56" fillId="0" borderId="0" xfId="0" quotePrefix="1" applyFont="1" applyProtection="1">
      <protection hidden="1"/>
    </xf>
    <xf numFmtId="0" fontId="42" fillId="0" borderId="0" xfId="0" applyFont="1" applyProtection="1">
      <protection locked="0"/>
    </xf>
    <xf numFmtId="0" fontId="42" fillId="0" borderId="0" xfId="0" applyFont="1" applyAlignment="1" applyProtection="1">
      <alignment horizontal="center" vertical="center"/>
      <protection locked="0"/>
    </xf>
    <xf numFmtId="0" fontId="41" fillId="0" borderId="0" xfId="0" applyFont="1" applyAlignment="1" applyProtection="1">
      <alignment horizontal="left" vertical="top"/>
      <protection hidden="1"/>
    </xf>
    <xf numFmtId="0" fontId="72" fillId="19" borderId="4" xfId="0" applyFont="1" applyFill="1" applyBorder="1" applyAlignment="1" applyProtection="1">
      <alignment horizontal="center" vertical="top" wrapText="1"/>
      <protection hidden="1"/>
    </xf>
    <xf numFmtId="0" fontId="20" fillId="0" borderId="0" xfId="0" applyFont="1" applyAlignment="1" applyProtection="1">
      <alignment horizontal="center" vertical="center"/>
      <protection locked="0" hidden="1"/>
    </xf>
    <xf numFmtId="0" fontId="21" fillId="0" borderId="0" xfId="0" applyFont="1" applyAlignment="1" applyProtection="1">
      <alignment horizontal="center" vertical="center"/>
      <protection hidden="1"/>
    </xf>
    <xf numFmtId="0" fontId="48" fillId="0" borderId="0" xfId="0" applyFont="1" applyAlignment="1" applyProtection="1">
      <alignment horizontal="center" vertical="center"/>
      <protection hidden="1"/>
    </xf>
    <xf numFmtId="0" fontId="42" fillId="0" borderId="0" xfId="0" applyFont="1" applyAlignment="1" applyProtection="1">
      <alignment horizontal="left"/>
      <protection hidden="1"/>
    </xf>
    <xf numFmtId="0" fontId="79" fillId="0" borderId="0" xfId="0" applyFont="1" applyAlignment="1" applyProtection="1">
      <alignment horizontal="center" vertical="center" wrapText="1"/>
      <protection hidden="1"/>
    </xf>
    <xf numFmtId="0" fontId="42" fillId="0" borderId="0" xfId="0" applyFont="1" applyAlignment="1" applyProtection="1">
      <alignment horizontal="center" vertical="center" wrapText="1"/>
      <protection hidden="1"/>
    </xf>
    <xf numFmtId="0" fontId="73" fillId="23" borderId="0" xfId="0" applyFont="1" applyFill="1" applyAlignment="1" applyProtection="1">
      <alignment horizontal="center" vertical="center" wrapText="1"/>
      <protection hidden="1"/>
    </xf>
    <xf numFmtId="0" fontId="46" fillId="23" borderId="38" xfId="0" applyFont="1" applyFill="1" applyBorder="1" applyAlignment="1" applyProtection="1">
      <alignment horizontal="center" vertical="center" wrapText="1"/>
      <protection hidden="1"/>
    </xf>
    <xf numFmtId="0" fontId="46" fillId="23" borderId="39" xfId="0" applyFont="1" applyFill="1" applyBorder="1" applyAlignment="1" applyProtection="1">
      <alignment horizontal="center" vertical="center"/>
      <protection hidden="1"/>
    </xf>
    <xf numFmtId="0" fontId="46" fillId="23" borderId="40" xfId="0" applyFont="1" applyFill="1" applyBorder="1" applyAlignment="1" applyProtection="1">
      <alignment horizontal="center" vertical="center"/>
      <protection hidden="1"/>
    </xf>
    <xf numFmtId="0" fontId="16" fillId="7" borderId="41" xfId="0" applyFont="1" applyFill="1" applyBorder="1" applyAlignment="1" applyProtection="1">
      <alignment horizontal="center" vertical="center"/>
      <protection hidden="1"/>
    </xf>
    <xf numFmtId="0" fontId="16" fillId="7" borderId="39" xfId="0" applyFont="1" applyFill="1" applyBorder="1" applyAlignment="1" applyProtection="1">
      <alignment horizontal="center" vertical="center"/>
      <protection hidden="1"/>
    </xf>
    <xf numFmtId="0" fontId="16" fillId="7" borderId="40" xfId="0" applyFont="1" applyFill="1" applyBorder="1" applyAlignment="1" applyProtection="1">
      <alignment horizontal="center" vertical="center"/>
      <protection hidden="1"/>
    </xf>
    <xf numFmtId="0" fontId="16" fillId="7" borderId="0" xfId="0" applyFont="1" applyFill="1" applyAlignment="1" applyProtection="1">
      <alignment horizontal="center" vertical="center"/>
      <protection hidden="1"/>
    </xf>
    <xf numFmtId="0" fontId="16" fillId="7" borderId="20" xfId="0" applyFont="1" applyFill="1" applyBorder="1" applyAlignment="1" applyProtection="1">
      <alignment horizontal="center" vertical="center"/>
      <protection hidden="1"/>
    </xf>
    <xf numFmtId="0" fontId="16" fillId="7" borderId="42" xfId="0" applyFont="1" applyFill="1" applyBorder="1" applyAlignment="1" applyProtection="1">
      <alignment horizontal="center" vertical="center"/>
      <protection hidden="1"/>
    </xf>
    <xf numFmtId="0" fontId="16" fillId="7" borderId="43" xfId="0" applyFont="1" applyFill="1" applyBorder="1" applyAlignment="1" applyProtection="1">
      <alignment horizontal="center" vertical="center"/>
      <protection hidden="1"/>
    </xf>
    <xf numFmtId="0" fontId="16" fillId="7" borderId="44" xfId="0" applyFont="1" applyFill="1" applyBorder="1" applyAlignment="1" applyProtection="1">
      <alignment horizontal="center" vertical="center"/>
      <protection hidden="1"/>
    </xf>
    <xf numFmtId="0" fontId="3" fillId="0" borderId="10" xfId="0" applyFont="1" applyBorder="1" applyProtection="1">
      <protection hidden="1"/>
    </xf>
    <xf numFmtId="0" fontId="39" fillId="0" borderId="8" xfId="0" applyFont="1" applyBorder="1" applyProtection="1">
      <protection hidden="1"/>
    </xf>
    <xf numFmtId="0" fontId="46" fillId="23" borderId="17" xfId="0" applyFont="1" applyFill="1" applyBorder="1" applyAlignment="1" applyProtection="1">
      <alignment horizontal="left"/>
      <protection hidden="1"/>
    </xf>
    <xf numFmtId="0" fontId="46" fillId="23" borderId="8" xfId="0" applyFont="1" applyFill="1" applyBorder="1" applyAlignment="1" applyProtection="1">
      <alignment horizontal="left"/>
      <protection hidden="1"/>
    </xf>
    <xf numFmtId="0" fontId="46" fillId="23" borderId="0" xfId="0" applyFont="1" applyFill="1" applyAlignment="1" applyProtection="1">
      <alignment horizontal="left"/>
      <protection hidden="1"/>
    </xf>
    <xf numFmtId="170" fontId="23" fillId="0" borderId="0" xfId="2" applyNumberFormat="1" applyFont="1" applyFill="1" applyBorder="1" applyAlignment="1" applyProtection="1">
      <alignment horizontal="left" vertical="top" wrapText="1"/>
      <protection hidden="1"/>
    </xf>
    <xf numFmtId="0" fontId="23" fillId="0" borderId="3" xfId="7" applyFont="1" applyBorder="1" applyAlignment="1" applyProtection="1">
      <alignment horizontal="center" vertical="center" wrapText="1"/>
      <protection hidden="1"/>
    </xf>
    <xf numFmtId="0" fontId="23" fillId="0" borderId="37" xfId="7" applyFont="1" applyBorder="1" applyAlignment="1" applyProtection="1">
      <alignment horizontal="center" vertical="center" wrapText="1"/>
      <protection hidden="1"/>
    </xf>
    <xf numFmtId="0" fontId="4" fillId="0" borderId="10" xfId="7" applyFont="1" applyBorder="1" applyAlignment="1" applyProtection="1">
      <alignment horizontal="left" vertical="top" wrapText="1"/>
      <protection hidden="1"/>
    </xf>
    <xf numFmtId="0" fontId="4" fillId="0" borderId="8" xfId="7" applyFont="1" applyBorder="1" applyAlignment="1" applyProtection="1">
      <alignment horizontal="left" vertical="top" wrapText="1"/>
      <protection hidden="1"/>
    </xf>
    <xf numFmtId="0" fontId="78" fillId="0" borderId="45" xfId="0" applyFont="1" applyBorder="1" applyAlignment="1" applyProtection="1">
      <alignment horizontal="center" vertical="center"/>
      <protection hidden="1"/>
    </xf>
    <xf numFmtId="0" fontId="78" fillId="0" borderId="46" xfId="0" applyFont="1" applyBorder="1" applyAlignment="1" applyProtection="1">
      <alignment horizontal="center" vertical="center"/>
      <protection hidden="1"/>
    </xf>
    <xf numFmtId="0" fontId="3" fillId="7" borderId="47" xfId="0" applyFont="1" applyFill="1" applyBorder="1" applyAlignment="1" applyProtection="1">
      <alignment horizontal="center" vertical="center"/>
      <protection locked="0" hidden="1"/>
    </xf>
    <xf numFmtId="0" fontId="3" fillId="7" borderId="48" xfId="0" applyFont="1" applyFill="1" applyBorder="1" applyAlignment="1" applyProtection="1">
      <alignment horizontal="center" vertical="center"/>
      <protection locked="0" hidden="1"/>
    </xf>
    <xf numFmtId="0" fontId="23" fillId="0" borderId="8" xfId="0" applyFont="1" applyBorder="1" applyAlignment="1" applyProtection="1">
      <alignment horizontal="right" vertical="center"/>
      <protection hidden="1"/>
    </xf>
    <xf numFmtId="0" fontId="39" fillId="0" borderId="8" xfId="0" applyFont="1" applyBorder="1" applyAlignment="1" applyProtection="1">
      <alignment horizontal="right"/>
      <protection hidden="1"/>
    </xf>
    <xf numFmtId="0" fontId="39" fillId="0" borderId="18" xfId="0" applyFont="1" applyBorder="1" applyAlignment="1" applyProtection="1">
      <alignment horizontal="right"/>
      <protection hidden="1"/>
    </xf>
    <xf numFmtId="0" fontId="23" fillId="0" borderId="10" xfId="0" applyFont="1" applyBorder="1" applyAlignment="1" applyProtection="1">
      <alignment horizontal="center" vertical="center" wrapText="1"/>
      <protection hidden="1"/>
    </xf>
    <xf numFmtId="0" fontId="23" fillId="0" borderId="8" xfId="0" applyFont="1" applyBorder="1" applyAlignment="1" applyProtection="1">
      <alignment horizontal="center" vertical="center" wrapText="1"/>
      <protection hidden="1"/>
    </xf>
    <xf numFmtId="0" fontId="23" fillId="0" borderId="9" xfId="0" applyFont="1" applyBorder="1" applyAlignment="1" applyProtection="1">
      <alignment horizontal="center" vertical="center" wrapText="1"/>
      <protection hidden="1"/>
    </xf>
    <xf numFmtId="0" fontId="4" fillId="0" borderId="10" xfId="8" applyFont="1" applyBorder="1" applyAlignment="1" applyProtection="1">
      <alignment horizontal="left" wrapText="1"/>
      <protection hidden="1"/>
    </xf>
    <xf numFmtId="0" fontId="4" fillId="0" borderId="8" xfId="8" applyFont="1" applyBorder="1" applyAlignment="1" applyProtection="1">
      <alignment horizontal="left" wrapText="1"/>
      <protection hidden="1"/>
    </xf>
    <xf numFmtId="0" fontId="4" fillId="0" borderId="18" xfId="8" applyFont="1" applyBorder="1" applyAlignment="1" applyProtection="1">
      <alignment horizontal="left" wrapText="1"/>
      <protection hidden="1"/>
    </xf>
    <xf numFmtId="0" fontId="3" fillId="7" borderId="47" xfId="0" applyFont="1" applyFill="1" applyBorder="1" applyAlignment="1" applyProtection="1">
      <alignment horizontal="center" vertical="center"/>
      <protection locked="0"/>
    </xf>
    <xf numFmtId="0" fontId="3" fillId="7" borderId="48" xfId="0" applyFont="1" applyFill="1" applyBorder="1" applyAlignment="1" applyProtection="1">
      <alignment horizontal="center" vertical="center"/>
      <protection locked="0"/>
    </xf>
    <xf numFmtId="0" fontId="23" fillId="0" borderId="18" xfId="0" applyFont="1" applyBorder="1" applyAlignment="1" applyProtection="1">
      <alignment horizontal="right" vertical="center"/>
      <protection hidden="1"/>
    </xf>
    <xf numFmtId="0" fontId="46" fillId="0" borderId="11" xfId="0" applyFont="1" applyBorder="1" applyAlignment="1" applyProtection="1">
      <alignment wrapText="1"/>
      <protection hidden="1"/>
    </xf>
    <xf numFmtId="0" fontId="46" fillId="0" borderId="0" xfId="0" applyFont="1" applyAlignment="1" applyProtection="1">
      <alignment wrapText="1"/>
      <protection hidden="1"/>
    </xf>
    <xf numFmtId="0" fontId="81" fillId="0" borderId="0" xfId="0" applyFont="1" applyAlignment="1" applyProtection="1">
      <alignment horizontal="center" vertical="top"/>
      <protection hidden="1"/>
    </xf>
    <xf numFmtId="0" fontId="80" fillId="0" borderId="0" xfId="0" applyFont="1" applyAlignment="1" applyProtection="1">
      <alignment horizontal="center" vertical="center"/>
      <protection hidden="1"/>
    </xf>
    <xf numFmtId="0" fontId="41" fillId="0" borderId="0" xfId="0" applyFont="1" applyAlignment="1" applyProtection="1">
      <alignment horizontal="left" vertical="top" wrapText="1"/>
      <protection hidden="1"/>
    </xf>
    <xf numFmtId="0" fontId="46" fillId="23" borderId="11" xfId="0" applyFont="1" applyFill="1" applyBorder="1" applyAlignment="1" applyProtection="1">
      <alignment horizontal="left" wrapText="1"/>
      <protection hidden="1"/>
    </xf>
    <xf numFmtId="0" fontId="46" fillId="23" borderId="0" xfId="0" applyFont="1" applyFill="1" applyAlignment="1" applyProtection="1">
      <alignment horizontal="left" wrapText="1"/>
      <protection hidden="1"/>
    </xf>
    <xf numFmtId="0" fontId="46" fillId="23" borderId="20" xfId="0" applyFont="1" applyFill="1" applyBorder="1" applyAlignment="1" applyProtection="1">
      <alignment horizontal="left" wrapText="1"/>
      <protection hidden="1"/>
    </xf>
    <xf numFmtId="170" fontId="41" fillId="0" borderId="0" xfId="2" applyNumberFormat="1" applyFont="1" applyFill="1" applyBorder="1" applyAlignment="1" applyProtection="1">
      <alignment horizontal="center" vertical="top" wrapText="1"/>
      <protection locked="0"/>
    </xf>
    <xf numFmtId="0" fontId="4" fillId="0" borderId="0" xfId="0" applyFont="1" applyAlignment="1" applyProtection="1">
      <alignment horizontal="center" vertical="center"/>
      <protection locked="0"/>
    </xf>
    <xf numFmtId="0" fontId="41" fillId="23" borderId="11" xfId="0" applyFont="1" applyFill="1" applyBorder="1" applyAlignment="1" applyProtection="1">
      <alignment horizontal="left" vertical="top" wrapText="1"/>
      <protection hidden="1"/>
    </xf>
    <xf numFmtId="0" fontId="41" fillId="23" borderId="0" xfId="0" applyFont="1" applyFill="1" applyAlignment="1" applyProtection="1">
      <alignment horizontal="left" vertical="top" wrapText="1"/>
      <protection hidden="1"/>
    </xf>
    <xf numFmtId="0" fontId="41" fillId="23" borderId="20" xfId="0" applyFont="1" applyFill="1" applyBorder="1" applyAlignment="1" applyProtection="1">
      <alignment horizontal="left" vertical="top" wrapText="1"/>
      <protection hidden="1"/>
    </xf>
    <xf numFmtId="0" fontId="23" fillId="0" borderId="8" xfId="0" applyFont="1" applyBorder="1" applyAlignment="1" applyProtection="1">
      <alignment vertical="center"/>
      <protection hidden="1"/>
    </xf>
    <xf numFmtId="0" fontId="23" fillId="0" borderId="8" xfId="0" applyFont="1" applyBorder="1" applyProtection="1">
      <protection hidden="1"/>
    </xf>
    <xf numFmtId="0" fontId="23" fillId="0" borderId="18" xfId="0" applyFont="1" applyBorder="1" applyProtection="1">
      <protection hidden="1"/>
    </xf>
    <xf numFmtId="0" fontId="41" fillId="23" borderId="13" xfId="0" applyFont="1" applyFill="1" applyBorder="1" applyAlignment="1" applyProtection="1">
      <alignment horizontal="center" vertical="center" wrapText="1"/>
      <protection hidden="1"/>
    </xf>
    <xf numFmtId="0" fontId="41" fillId="23" borderId="14" xfId="0" applyFont="1" applyFill="1" applyBorder="1" applyAlignment="1" applyProtection="1">
      <alignment horizontal="center" vertical="center" wrapText="1"/>
      <protection hidden="1"/>
    </xf>
    <xf numFmtId="0" fontId="41" fillId="23" borderId="35" xfId="0" applyFont="1" applyFill="1" applyBorder="1" applyAlignment="1" applyProtection="1">
      <alignment horizontal="center" vertical="center" wrapText="1"/>
      <protection hidden="1"/>
    </xf>
    <xf numFmtId="0" fontId="4" fillId="0" borderId="10" xfId="9" applyFont="1" applyBorder="1" applyAlignment="1" applyProtection="1">
      <alignment horizontal="left" vertical="top" wrapText="1"/>
      <protection hidden="1"/>
    </xf>
    <xf numFmtId="0" fontId="4" fillId="0" borderId="8" xfId="9" applyFont="1" applyBorder="1" applyAlignment="1" applyProtection="1">
      <alignment horizontal="left" vertical="top" wrapText="1"/>
      <protection hidden="1"/>
    </xf>
    <xf numFmtId="0" fontId="23" fillId="0" borderId="8" xfId="9" applyFont="1" applyBorder="1" applyAlignment="1" applyProtection="1">
      <alignment horizontal="right" vertical="top" wrapText="1"/>
      <protection hidden="1"/>
    </xf>
    <xf numFmtId="0" fontId="23" fillId="0" borderId="9" xfId="9" applyFont="1" applyBorder="1" applyAlignment="1" applyProtection="1">
      <alignment horizontal="right" vertical="top" wrapText="1"/>
      <protection hidden="1"/>
    </xf>
    <xf numFmtId="0" fontId="3" fillId="0" borderId="10" xfId="0" applyFont="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0" fontId="3" fillId="0" borderId="9" xfId="0" applyFont="1" applyBorder="1" applyAlignment="1" applyProtection="1">
      <alignment horizontal="left" vertical="center"/>
      <protection hidden="1"/>
    </xf>
    <xf numFmtId="0" fontId="23" fillId="18" borderId="10" xfId="7" applyFont="1" applyFill="1" applyBorder="1" applyAlignment="1" applyProtection="1">
      <alignment horizontal="center" vertical="center" wrapText="1"/>
      <protection locked="0"/>
    </xf>
    <xf numFmtId="0" fontId="23" fillId="18" borderId="8" xfId="7" applyFont="1" applyFill="1" applyBorder="1" applyAlignment="1" applyProtection="1">
      <alignment horizontal="center" vertical="center" wrapText="1"/>
      <protection locked="0"/>
    </xf>
    <xf numFmtId="0" fontId="23" fillId="18" borderId="9" xfId="7" applyFont="1" applyFill="1" applyBorder="1" applyAlignment="1" applyProtection="1">
      <alignment horizontal="center" vertical="center" wrapText="1"/>
      <protection locked="0"/>
    </xf>
    <xf numFmtId="43" fontId="45" fillId="0" borderId="4" xfId="0" applyNumberFormat="1" applyFont="1" applyBorder="1" applyAlignment="1" applyProtection="1">
      <alignment horizontal="center"/>
      <protection hidden="1"/>
    </xf>
    <xf numFmtId="0" fontId="45" fillId="0" borderId="4" xfId="0" applyFont="1" applyBorder="1" applyAlignment="1" applyProtection="1">
      <alignment horizontal="center"/>
      <protection hidden="1"/>
    </xf>
    <xf numFmtId="0" fontId="73" fillId="24" borderId="3" xfId="0" applyFont="1" applyFill="1" applyBorder="1" applyAlignment="1" applyProtection="1">
      <alignment horizontal="center" vertical="center"/>
      <protection hidden="1"/>
    </xf>
    <xf numFmtId="43" fontId="45" fillId="0" borderId="10" xfId="1" applyFont="1" applyBorder="1" applyAlignment="1" applyProtection="1">
      <alignment horizontal="center"/>
      <protection hidden="1"/>
    </xf>
    <xf numFmtId="43" fontId="45" fillId="0" borderId="8" xfId="1" applyFont="1" applyBorder="1" applyAlignment="1" applyProtection="1">
      <alignment horizontal="center"/>
      <protection hidden="1"/>
    </xf>
    <xf numFmtId="43" fontId="45" fillId="0" borderId="9" xfId="1" applyFont="1" applyBorder="1" applyAlignment="1" applyProtection="1">
      <alignment horizontal="center"/>
      <protection hidden="1"/>
    </xf>
    <xf numFmtId="4" fontId="45" fillId="0" borderId="10" xfId="0" applyNumberFormat="1" applyFont="1" applyBorder="1" applyAlignment="1" applyProtection="1">
      <alignment horizontal="right"/>
      <protection hidden="1"/>
    </xf>
    <xf numFmtId="0" fontId="45" fillId="0" borderId="8" xfId="0" applyFont="1" applyBorder="1" applyAlignment="1" applyProtection="1">
      <alignment horizontal="right"/>
      <protection hidden="1"/>
    </xf>
    <xf numFmtId="0" fontId="45" fillId="0" borderId="9" xfId="0" applyFont="1" applyBorder="1" applyAlignment="1" applyProtection="1">
      <alignment horizontal="right"/>
      <protection hidden="1"/>
    </xf>
    <xf numFmtId="172" fontId="38" fillId="10" borderId="49" xfId="0" applyNumberFormat="1" applyFont="1" applyFill="1" applyBorder="1" applyAlignment="1" applyProtection="1">
      <alignment horizontal="center" vertical="center" wrapText="1"/>
      <protection hidden="1"/>
    </xf>
    <xf numFmtId="172" fontId="38" fillId="10" borderId="50" xfId="0" applyNumberFormat="1" applyFont="1" applyFill="1" applyBorder="1" applyAlignment="1" applyProtection="1">
      <alignment horizontal="center" vertical="center" wrapText="1"/>
      <protection hidden="1"/>
    </xf>
    <xf numFmtId="172" fontId="38" fillId="10" borderId="51" xfId="0" applyNumberFormat="1" applyFont="1" applyFill="1" applyBorder="1" applyAlignment="1" applyProtection="1">
      <alignment horizontal="center" vertical="center" wrapText="1"/>
      <protection hidden="1"/>
    </xf>
    <xf numFmtId="0" fontId="38" fillId="10" borderId="52" xfId="0" applyFont="1" applyFill="1" applyBorder="1" applyAlignment="1" applyProtection="1">
      <alignment horizontal="left" vertical="center" wrapText="1"/>
      <protection hidden="1"/>
    </xf>
    <xf numFmtId="0" fontId="38" fillId="10" borderId="6" xfId="0" applyFont="1" applyFill="1" applyBorder="1" applyAlignment="1" applyProtection="1">
      <alignment horizontal="left" vertical="center" wrapText="1"/>
      <protection hidden="1"/>
    </xf>
    <xf numFmtId="0" fontId="45" fillId="20" borderId="4" xfId="0" applyFont="1" applyFill="1" applyBorder="1" applyAlignment="1" applyProtection="1">
      <alignment horizontal="center"/>
      <protection hidden="1"/>
    </xf>
    <xf numFmtId="43" fontId="45" fillId="0" borderId="53" xfId="1" applyFont="1" applyBorder="1" applyAlignment="1" applyProtection="1">
      <alignment horizontal="center"/>
      <protection hidden="1"/>
    </xf>
    <xf numFmtId="0" fontId="74" fillId="10" borderId="6" xfId="0" applyFont="1" applyFill="1" applyBorder="1" applyAlignment="1" applyProtection="1">
      <alignment horizontal="center" vertical="center" wrapText="1"/>
      <protection hidden="1"/>
    </xf>
    <xf numFmtId="0" fontId="48" fillId="24" borderId="2" xfId="0" applyFont="1" applyFill="1" applyBorder="1" applyAlignment="1" applyProtection="1">
      <alignment horizontal="center" vertical="top" wrapText="1"/>
      <protection hidden="1"/>
    </xf>
    <xf numFmtId="0" fontId="48" fillId="24" borderId="3" xfId="0" applyFont="1" applyFill="1" applyBorder="1" applyAlignment="1" applyProtection="1">
      <alignment horizontal="center" vertical="top" wrapText="1"/>
      <protection hidden="1"/>
    </xf>
    <xf numFmtId="0" fontId="48" fillId="24" borderId="13" xfId="0" applyFont="1" applyFill="1" applyBorder="1" applyAlignment="1" applyProtection="1">
      <alignment horizontal="center" vertical="top" wrapText="1"/>
      <protection hidden="1"/>
    </xf>
    <xf numFmtId="0" fontId="48" fillId="24" borderId="34" xfId="0" applyFont="1" applyFill="1" applyBorder="1" applyAlignment="1" applyProtection="1">
      <alignment horizontal="center" vertical="top" wrapText="1"/>
      <protection hidden="1"/>
    </xf>
    <xf numFmtId="0" fontId="48" fillId="24" borderId="6" xfId="0" applyFont="1" applyFill="1" applyBorder="1" applyAlignment="1" applyProtection="1">
      <alignment horizontal="center" vertical="top" wrapText="1"/>
      <protection hidden="1"/>
    </xf>
    <xf numFmtId="0" fontId="48" fillId="24" borderId="35" xfId="0" applyFont="1" applyFill="1" applyBorder="1" applyAlignment="1" applyProtection="1">
      <alignment horizontal="center" vertical="top" wrapText="1"/>
      <protection hidden="1"/>
    </xf>
    <xf numFmtId="174" fontId="57" fillId="10" borderId="0" xfId="0" applyNumberFormat="1" applyFont="1" applyFill="1" applyAlignment="1" applyProtection="1">
      <alignment vertical="center"/>
      <protection hidden="1"/>
    </xf>
    <xf numFmtId="173" fontId="57" fillId="8" borderId="0" xfId="10" applyNumberFormat="1" applyFont="1" applyFill="1" applyAlignment="1" applyProtection="1">
      <alignment horizontal="center" vertical="center"/>
      <protection hidden="1"/>
    </xf>
    <xf numFmtId="4" fontId="45" fillId="0" borderId="4" xfId="0" applyNumberFormat="1" applyFont="1" applyBorder="1" applyAlignment="1" applyProtection="1">
      <alignment horizontal="center"/>
      <protection hidden="1"/>
    </xf>
    <xf numFmtId="43" fontId="45" fillId="0" borderId="4" xfId="1" applyFont="1" applyBorder="1" applyAlignment="1" applyProtection="1">
      <alignment horizontal="center"/>
      <protection hidden="1"/>
    </xf>
    <xf numFmtId="0" fontId="57" fillId="8" borderId="0" xfId="0" applyFont="1" applyFill="1" applyAlignment="1" applyProtection="1">
      <alignment horizontal="center" vertical="center" wrapText="1"/>
      <protection hidden="1"/>
    </xf>
    <xf numFmtId="3" fontId="57" fillId="8" borderId="0" xfId="2" applyNumberFormat="1" applyFont="1" applyFill="1" applyAlignment="1" applyProtection="1">
      <alignment horizontal="center" vertical="center"/>
      <protection hidden="1"/>
    </xf>
    <xf numFmtId="2" fontId="38" fillId="8" borderId="0" xfId="0" applyNumberFormat="1" applyFont="1" applyFill="1" applyAlignment="1" applyProtection="1">
      <alignment horizontal="center" vertical="center"/>
      <protection hidden="1"/>
    </xf>
    <xf numFmtId="1" fontId="38" fillId="8" borderId="0" xfId="0" applyNumberFormat="1" applyFont="1" applyFill="1" applyAlignment="1" applyProtection="1">
      <alignment horizontal="center" vertical="center"/>
      <protection hidden="1"/>
    </xf>
    <xf numFmtId="174" fontId="57" fillId="8" borderId="0" xfId="0" applyNumberFormat="1" applyFont="1" applyFill="1" applyAlignment="1" applyProtection="1">
      <alignment horizontal="center" vertical="center"/>
      <protection hidden="1"/>
    </xf>
    <xf numFmtId="0" fontId="57" fillId="10" borderId="0" xfId="0" applyFont="1" applyFill="1" applyAlignment="1" applyProtection="1">
      <alignment horizontal="center" vertical="center"/>
      <protection hidden="1"/>
    </xf>
    <xf numFmtId="0" fontId="57" fillId="8" borderId="0" xfId="0" applyFont="1" applyFill="1" applyAlignment="1" applyProtection="1">
      <alignment horizontal="center" vertical="center"/>
      <protection hidden="1"/>
    </xf>
    <xf numFmtId="0" fontId="62" fillId="21" borderId="61" xfId="0" applyFont="1" applyFill="1" applyBorder="1" applyAlignment="1" applyProtection="1">
      <alignment horizontal="left" vertical="center" wrapText="1" indent="1"/>
      <protection hidden="1"/>
    </xf>
    <xf numFmtId="0" fontId="62" fillId="21" borderId="62" xfId="0" applyFont="1" applyFill="1" applyBorder="1" applyAlignment="1" applyProtection="1">
      <alignment horizontal="left" vertical="center" wrapText="1" indent="1"/>
      <protection hidden="1"/>
    </xf>
    <xf numFmtId="0" fontId="62" fillId="21" borderId="63" xfId="0" applyFont="1" applyFill="1" applyBorder="1" applyAlignment="1" applyProtection="1">
      <alignment horizontal="left" vertical="center" wrapText="1" indent="1"/>
      <protection hidden="1"/>
    </xf>
    <xf numFmtId="0" fontId="62" fillId="21" borderId="64" xfId="0" applyFont="1" applyFill="1" applyBorder="1" applyAlignment="1" applyProtection="1">
      <alignment horizontal="left" vertical="center" wrapText="1" indent="1"/>
      <protection hidden="1"/>
    </xf>
    <xf numFmtId="0" fontId="58" fillId="22" borderId="62" xfId="0" applyFont="1" applyFill="1" applyBorder="1" applyAlignment="1" applyProtection="1">
      <alignment horizontal="left" vertical="center" wrapText="1" indent="1"/>
      <protection hidden="1"/>
    </xf>
    <xf numFmtId="0" fontId="58" fillId="22" borderId="65" xfId="0" applyFont="1" applyFill="1" applyBorder="1" applyAlignment="1" applyProtection="1">
      <alignment horizontal="left" vertical="center" wrapText="1" indent="1"/>
      <protection hidden="1"/>
    </xf>
    <xf numFmtId="0" fontId="58" fillId="22" borderId="64" xfId="0" applyFont="1" applyFill="1" applyBorder="1" applyAlignment="1" applyProtection="1">
      <alignment horizontal="left" vertical="center" wrapText="1" indent="1"/>
      <protection hidden="1"/>
    </xf>
    <xf numFmtId="0" fontId="58" fillId="22" borderId="66" xfId="0" applyFont="1" applyFill="1" applyBorder="1" applyAlignment="1" applyProtection="1">
      <alignment horizontal="left" vertical="center" wrapText="1" indent="1"/>
      <protection hidden="1"/>
    </xf>
    <xf numFmtId="0" fontId="56" fillId="8" borderId="0" xfId="0" applyFont="1" applyFill="1" applyAlignment="1" applyProtection="1">
      <alignment horizontal="center" vertical="center"/>
      <protection hidden="1"/>
    </xf>
    <xf numFmtId="0" fontId="57" fillId="8" borderId="8" xfId="0" applyFont="1" applyFill="1" applyBorder="1" applyAlignment="1" applyProtection="1">
      <alignment horizontal="center" vertical="center"/>
      <protection hidden="1"/>
    </xf>
    <xf numFmtId="173" fontId="57" fillId="8" borderId="6" xfId="10" applyNumberFormat="1" applyFont="1" applyFill="1" applyBorder="1" applyAlignment="1" applyProtection="1">
      <alignment horizontal="center" vertical="center"/>
      <protection hidden="1"/>
    </xf>
    <xf numFmtId="2" fontId="57" fillId="8" borderId="0" xfId="0" applyNumberFormat="1" applyFont="1" applyFill="1" applyAlignment="1" applyProtection="1">
      <alignment horizontal="center" vertical="center"/>
      <protection hidden="1"/>
    </xf>
    <xf numFmtId="173" fontId="57" fillId="8" borderId="3" xfId="0" applyNumberFormat="1" applyFont="1" applyFill="1" applyBorder="1" applyAlignment="1" applyProtection="1">
      <alignment horizontal="center" vertical="center"/>
      <protection hidden="1"/>
    </xf>
    <xf numFmtId="0" fontId="38" fillId="8" borderId="0" xfId="0" applyFont="1" applyFill="1" applyAlignment="1" applyProtection="1">
      <alignment horizontal="left" vertical="center" indent="1"/>
      <protection hidden="1"/>
    </xf>
    <xf numFmtId="0" fontId="61" fillId="10" borderId="6" xfId="0" applyFont="1" applyFill="1" applyBorder="1" applyAlignment="1" applyProtection="1">
      <alignment horizontal="left" vertical="center" wrapText="1"/>
      <protection hidden="1"/>
    </xf>
    <xf numFmtId="0" fontId="48" fillId="24" borderId="2" xfId="0" applyFont="1" applyFill="1" applyBorder="1" applyAlignment="1" applyProtection="1">
      <alignment horizontal="left" vertical="top" wrapText="1"/>
      <protection hidden="1"/>
    </xf>
    <xf numFmtId="0" fontId="48" fillId="24" borderId="3" xfId="0" applyFont="1" applyFill="1" applyBorder="1" applyAlignment="1" applyProtection="1">
      <alignment horizontal="left" vertical="top" wrapText="1"/>
      <protection hidden="1"/>
    </xf>
    <xf numFmtId="0" fontId="48" fillId="24" borderId="13" xfId="0" applyFont="1" applyFill="1" applyBorder="1" applyAlignment="1" applyProtection="1">
      <alignment horizontal="left" vertical="top" wrapText="1"/>
      <protection hidden="1"/>
    </xf>
    <xf numFmtId="0" fontId="48" fillId="24" borderId="34" xfId="0" applyFont="1" applyFill="1" applyBorder="1" applyAlignment="1" applyProtection="1">
      <alignment horizontal="left" vertical="top" wrapText="1"/>
      <protection hidden="1"/>
    </xf>
    <xf numFmtId="0" fontId="48" fillId="24" borderId="6" xfId="0" applyFont="1" applyFill="1" applyBorder="1" applyAlignment="1" applyProtection="1">
      <alignment horizontal="left" vertical="top" wrapText="1"/>
      <protection hidden="1"/>
    </xf>
    <xf numFmtId="0" fontId="48" fillId="24" borderId="35" xfId="0" applyFont="1" applyFill="1" applyBorder="1" applyAlignment="1" applyProtection="1">
      <alignment horizontal="left" vertical="top" wrapText="1"/>
      <protection hidden="1"/>
    </xf>
    <xf numFmtId="0" fontId="48" fillId="24" borderId="2" xfId="0" applyFont="1" applyFill="1" applyBorder="1" applyAlignment="1" applyProtection="1">
      <alignment horizontal="center" vertical="center" wrapText="1"/>
      <protection hidden="1"/>
    </xf>
    <xf numFmtId="0" fontId="48" fillId="24" borderId="3" xfId="0" applyFont="1" applyFill="1" applyBorder="1" applyAlignment="1" applyProtection="1">
      <alignment horizontal="center" vertical="center" wrapText="1"/>
      <protection hidden="1"/>
    </xf>
    <xf numFmtId="0" fontId="48" fillId="24" borderId="13" xfId="0" applyFont="1" applyFill="1" applyBorder="1" applyAlignment="1" applyProtection="1">
      <alignment horizontal="center" vertical="center" wrapText="1"/>
      <protection hidden="1"/>
    </xf>
    <xf numFmtId="0" fontId="48" fillId="24" borderId="36" xfId="0" applyFont="1" applyFill="1" applyBorder="1" applyAlignment="1" applyProtection="1">
      <alignment horizontal="center" vertical="center" wrapText="1"/>
      <protection hidden="1"/>
    </xf>
    <xf numFmtId="0" fontId="48" fillId="24" borderId="0" xfId="0" applyFont="1" applyFill="1" applyAlignment="1" applyProtection="1">
      <alignment horizontal="center" vertical="center" wrapText="1"/>
      <protection hidden="1"/>
    </xf>
    <xf numFmtId="0" fontId="48" fillId="24" borderId="14" xfId="0" applyFont="1" applyFill="1" applyBorder="1" applyAlignment="1" applyProtection="1">
      <alignment horizontal="center" vertical="center" wrapText="1"/>
      <protection hidden="1"/>
    </xf>
    <xf numFmtId="0" fontId="48" fillId="24" borderId="34" xfId="0" applyFont="1" applyFill="1" applyBorder="1" applyAlignment="1" applyProtection="1">
      <alignment horizontal="center" vertical="center" wrapText="1"/>
      <protection hidden="1"/>
    </xf>
    <xf numFmtId="0" fontId="48" fillId="24" borderId="6" xfId="0" applyFont="1" applyFill="1" applyBorder="1" applyAlignment="1" applyProtection="1">
      <alignment horizontal="center" vertical="center" wrapText="1"/>
      <protection hidden="1"/>
    </xf>
    <xf numFmtId="0" fontId="48" fillId="24" borderId="35" xfId="0" applyFont="1" applyFill="1" applyBorder="1" applyAlignment="1" applyProtection="1">
      <alignment horizontal="center" vertical="center" wrapText="1"/>
      <protection hidden="1"/>
    </xf>
    <xf numFmtId="0" fontId="57" fillId="8" borderId="6" xfId="0" applyFont="1" applyFill="1" applyBorder="1" applyAlignment="1" applyProtection="1">
      <alignment horizontal="center" vertical="center"/>
      <protection hidden="1"/>
    </xf>
    <xf numFmtId="0" fontId="57" fillId="10" borderId="0" xfId="0" applyFont="1" applyFill="1" applyAlignment="1" applyProtection="1">
      <alignment horizontal="right" vertical="center"/>
      <protection hidden="1"/>
    </xf>
    <xf numFmtId="14" fontId="57" fillId="8" borderId="6" xfId="0" applyNumberFormat="1" applyFont="1" applyFill="1" applyBorder="1" applyAlignment="1" applyProtection="1">
      <alignment horizontal="center" vertical="center"/>
      <protection hidden="1"/>
    </xf>
    <xf numFmtId="0" fontId="77" fillId="8" borderId="0" xfId="0" applyFont="1" applyFill="1" applyAlignment="1" applyProtection="1">
      <alignment horizontal="center" vertical="center"/>
      <protection hidden="1"/>
    </xf>
    <xf numFmtId="0" fontId="44" fillId="5" borderId="0" xfId="0" applyFont="1" applyFill="1" applyAlignment="1" applyProtection="1">
      <alignment vertical="center"/>
      <protection hidden="1"/>
    </xf>
    <xf numFmtId="0" fontId="44" fillId="5" borderId="32" xfId="0" applyFont="1" applyFill="1" applyBorder="1" applyAlignment="1" applyProtection="1">
      <alignment vertical="center"/>
      <protection hidden="1"/>
    </xf>
    <xf numFmtId="0" fontId="45" fillId="16" borderId="6" xfId="0" applyFont="1" applyFill="1" applyBorder="1" applyAlignment="1" applyProtection="1">
      <alignment horizontal="left"/>
      <protection locked="0" hidden="1"/>
    </xf>
    <xf numFmtId="0" fontId="45" fillId="16" borderId="6" xfId="0" applyFont="1" applyFill="1" applyBorder="1" applyAlignment="1" applyProtection="1">
      <alignment horizontal="left" vertical="center"/>
      <protection locked="0" hidden="1"/>
    </xf>
    <xf numFmtId="0" fontId="54" fillId="0" borderId="0" xfId="0" applyFont="1" applyAlignment="1" applyProtection="1">
      <alignment horizontal="left" vertical="center" wrapText="1"/>
      <protection hidden="1"/>
    </xf>
    <xf numFmtId="0" fontId="75" fillId="0" borderId="0" xfId="0" applyFont="1" applyAlignment="1" applyProtection="1">
      <alignment horizontal="center" vertical="top" wrapText="1"/>
      <protection hidden="1"/>
    </xf>
    <xf numFmtId="0" fontId="45" fillId="8" borderId="0" xfId="0" applyFont="1" applyFill="1" applyAlignment="1" applyProtection="1">
      <alignment horizontal="left" vertical="center"/>
      <protection hidden="1"/>
    </xf>
    <xf numFmtId="0" fontId="45" fillId="8" borderId="6" xfId="0" applyFont="1" applyFill="1" applyBorder="1" applyAlignment="1" applyProtection="1">
      <alignment horizontal="left" vertical="center"/>
      <protection hidden="1"/>
    </xf>
    <xf numFmtId="0" fontId="57" fillId="8" borderId="0" xfId="0" applyFont="1" applyFill="1" applyAlignment="1" applyProtection="1">
      <alignment horizontal="left" vertical="center"/>
      <protection hidden="1"/>
    </xf>
    <xf numFmtId="0" fontId="57" fillId="8" borderId="6" xfId="0" applyFont="1" applyFill="1" applyBorder="1" applyAlignment="1" applyProtection="1">
      <alignment horizontal="left" vertical="center"/>
      <protection hidden="1"/>
    </xf>
    <xf numFmtId="0" fontId="73" fillId="24" borderId="29" xfId="0" applyFont="1" applyFill="1" applyBorder="1" applyAlignment="1" applyProtection="1">
      <alignment horizontal="center" vertical="center"/>
      <protection hidden="1"/>
    </xf>
    <xf numFmtId="0" fontId="73" fillId="24" borderId="0" xfId="0" applyFont="1" applyFill="1" applyAlignment="1" applyProtection="1">
      <alignment horizontal="center" vertical="center"/>
      <protection hidden="1"/>
    </xf>
    <xf numFmtId="0" fontId="76" fillId="23" borderId="0" xfId="0" applyFont="1" applyFill="1" applyAlignment="1" applyProtection="1">
      <alignment horizontal="center" wrapText="1"/>
      <protection hidden="1"/>
    </xf>
    <xf numFmtId="0" fontId="76" fillId="23" borderId="32" xfId="0" applyFont="1" applyFill="1" applyBorder="1" applyAlignment="1" applyProtection="1">
      <alignment horizontal="center" wrapText="1"/>
      <protection hidden="1"/>
    </xf>
    <xf numFmtId="14" fontId="38" fillId="8" borderId="0" xfId="0" applyNumberFormat="1" applyFont="1" applyFill="1" applyAlignment="1" applyProtection="1">
      <alignment horizontal="center" vertical="center"/>
      <protection hidden="1"/>
    </xf>
    <xf numFmtId="0" fontId="48" fillId="24" borderId="4" xfId="0" applyFont="1" applyFill="1" applyBorder="1" applyAlignment="1">
      <alignment horizontal="center" wrapText="1"/>
    </xf>
    <xf numFmtId="0" fontId="21" fillId="23" borderId="4" xfId="0" applyFont="1" applyFill="1" applyBorder="1" applyAlignment="1">
      <alignment horizontal="center"/>
    </xf>
    <xf numFmtId="171" fontId="7" fillId="0" borderId="67" xfId="2" quotePrefix="1" applyNumberFormat="1" applyFont="1" applyFill="1" applyBorder="1" applyAlignment="1">
      <alignment horizontal="center"/>
    </xf>
  </cellXfs>
  <cellStyles count="11">
    <cellStyle name="Comma" xfId="1" builtinId="3"/>
    <cellStyle name="Currency" xfId="2" builtinId="4"/>
    <cellStyle name="Currency 2" xfId="3" xr:uid="{00000000-0005-0000-0000-000002000000}"/>
    <cellStyle name="Currency 3" xfId="4" xr:uid="{00000000-0005-0000-0000-000003000000}"/>
    <cellStyle name="Normal" xfId="0" builtinId="0"/>
    <cellStyle name="Normal 13" xfId="5" xr:uid="{00000000-0005-0000-0000-000005000000}"/>
    <cellStyle name="Normal 14" xfId="6" xr:uid="{00000000-0005-0000-0000-000006000000}"/>
    <cellStyle name="Normal 3" xfId="7" xr:uid="{00000000-0005-0000-0000-000007000000}"/>
    <cellStyle name="Normal 4" xfId="8" xr:uid="{00000000-0005-0000-0000-000008000000}"/>
    <cellStyle name="Normal 5" xfId="9" xr:uid="{00000000-0005-0000-0000-000009000000}"/>
    <cellStyle name="Percent" xfId="10" builtinId="5"/>
  </cellStyles>
  <dxfs count="57">
    <dxf>
      <font>
        <color rgb="FF006100"/>
      </font>
      <fill>
        <patternFill>
          <bgColor rgb="FFC6EFCE"/>
        </patternFill>
      </fill>
    </dxf>
    <dxf>
      <font>
        <b/>
        <i val="0"/>
        <color rgb="FF007434"/>
      </font>
      <fill>
        <patternFill>
          <bgColor theme="6" tint="0.79998168889431442"/>
        </patternFill>
      </fill>
      <border>
        <left style="thin">
          <color rgb="FF007434"/>
        </left>
        <right style="thin">
          <color rgb="FF007434"/>
        </right>
        <top style="thin">
          <color rgb="FF007434"/>
        </top>
        <bottom style="thin">
          <color rgb="FF007434"/>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color rgb="FF9C0006"/>
      </font>
      <fill>
        <patternFill>
          <bgColor rgb="FFFFC7CE"/>
        </patternFill>
      </fill>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007434"/>
      </font>
      <fill>
        <patternFill>
          <bgColor theme="6" tint="0.79998168889431442"/>
        </patternFill>
      </fill>
      <border>
        <left style="thin">
          <color rgb="FF007434"/>
        </left>
        <right style="thin">
          <color rgb="FF007434"/>
        </right>
        <top style="thin">
          <color rgb="FF007434"/>
        </top>
        <bottom style="thin">
          <color rgb="FF007434"/>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00B050"/>
      </font>
      <fill>
        <patternFill>
          <bgColor theme="4" tint="0.79998168889431442"/>
        </patternFill>
      </fill>
    </dxf>
    <dxf>
      <font>
        <b/>
        <i val="0"/>
        <color rgb="FFFF0000"/>
      </font>
      <fill>
        <patternFill>
          <bgColor theme="4" tint="0.79998168889431442"/>
        </patternFill>
      </fill>
    </dxf>
    <dxf>
      <font>
        <b val="0"/>
        <i val="0"/>
        <color rgb="FF007434"/>
      </font>
      <border>
        <left style="thin">
          <color rgb="FF007434"/>
        </left>
        <right style="thin">
          <color rgb="FF007434"/>
        </right>
        <top style="thin">
          <color rgb="FF007434"/>
        </top>
        <bottom style="thin">
          <color rgb="FF007434"/>
        </bottom>
      </border>
    </dxf>
    <dxf>
      <font>
        <b/>
        <i val="0"/>
        <color rgb="FF00B050"/>
      </font>
      <fill>
        <patternFill>
          <bgColor theme="4" tint="0.79998168889431442"/>
        </patternFill>
      </fill>
    </dxf>
    <dxf>
      <font>
        <b/>
        <i val="0"/>
        <color rgb="FFFF0000"/>
      </font>
      <fill>
        <patternFill>
          <bgColor theme="4" tint="0.79998168889431442"/>
        </patternFill>
      </fill>
    </dxf>
    <dxf>
      <font>
        <color rgb="FF9C0006"/>
      </font>
      <fill>
        <patternFill>
          <bgColor rgb="FFFFC7CE"/>
        </patternFill>
      </fill>
    </dxf>
    <dxf>
      <font>
        <color rgb="FFC00000"/>
      </font>
      <fill>
        <patternFill patternType="lightDown">
          <fgColor theme="5" tint="0.79998168889431442"/>
          <bgColor indexed="65"/>
        </patternFill>
      </fill>
      <border>
        <left style="thin">
          <color rgb="FFC00000"/>
        </left>
        <right style="thin">
          <color rgb="FFC00000"/>
        </right>
        <top style="thin">
          <color rgb="FFC00000"/>
        </top>
        <bottom style="thin">
          <color rgb="FFC00000"/>
        </bottom>
      </border>
    </dxf>
    <dxf>
      <font>
        <color rgb="FF006100"/>
      </font>
      <fill>
        <patternFill>
          <bgColor rgb="FFC6EFCE"/>
        </patternFill>
      </fill>
    </dxf>
    <dxf>
      <font>
        <b/>
        <i val="0"/>
        <color rgb="FF007434"/>
      </font>
      <fill>
        <patternFill>
          <bgColor theme="6" tint="0.79998168889431442"/>
        </patternFill>
      </fill>
      <border>
        <left style="thin">
          <color rgb="FF007434"/>
        </left>
        <right style="thin">
          <color rgb="FF007434"/>
        </right>
        <top style="thin">
          <color rgb="FF007434"/>
        </top>
        <bottom style="thin">
          <color rgb="FF007434"/>
        </bottom>
      </border>
    </dxf>
    <dxf>
      <font>
        <color rgb="FF9C0006"/>
      </font>
      <fill>
        <patternFill>
          <bgColor rgb="FFFFC7CE"/>
        </patternFill>
      </fill>
    </dxf>
    <dxf>
      <font>
        <color rgb="FF9C0006"/>
      </font>
      <fill>
        <patternFill>
          <bgColor rgb="FFFFC7CE"/>
        </patternFill>
      </fill>
    </dxf>
    <dxf>
      <font>
        <color rgb="FF00B050"/>
      </font>
    </dxf>
    <dxf>
      <font>
        <color rgb="FF9C0006"/>
      </font>
      <fill>
        <patternFill>
          <bgColor rgb="FFFFC7CE"/>
        </patternFill>
      </fill>
    </dxf>
    <dxf>
      <font>
        <color rgb="FF00B050"/>
      </font>
    </dxf>
    <dxf>
      <font>
        <color rgb="FF9C0006"/>
      </font>
      <fill>
        <patternFill>
          <bgColor rgb="FFFFC7CE"/>
        </patternFill>
      </fill>
    </dxf>
    <dxf>
      <font>
        <color rgb="FF00B050"/>
      </font>
    </dxf>
    <dxf>
      <font>
        <color rgb="FF9C0006"/>
      </font>
      <fill>
        <patternFill>
          <bgColor rgb="FFFFC7CE"/>
        </patternFill>
      </fill>
    </dxf>
    <dxf>
      <font>
        <color rgb="FF9C0006"/>
      </font>
      <fill>
        <patternFill>
          <bgColor rgb="FFFFC7CE"/>
        </patternFill>
      </fill>
    </dxf>
    <dxf>
      <font>
        <color theme="5"/>
      </font>
    </dxf>
    <dxf>
      <font>
        <color rgb="FFC00000"/>
      </font>
    </dxf>
    <dxf>
      <font>
        <color rgb="FF9C0006"/>
      </font>
      <fill>
        <patternFill>
          <bgColor rgb="FFFFC7CE"/>
        </patternFill>
      </fill>
    </dxf>
    <dxf>
      <font>
        <color rgb="FF9C0006"/>
      </font>
      <fill>
        <patternFill>
          <bgColor rgb="FFFFC7CE"/>
        </patternFill>
      </fill>
    </dxf>
    <dxf>
      <font>
        <color rgb="FF00B050"/>
      </font>
    </dxf>
    <dxf>
      <font>
        <color rgb="FF9C0006"/>
      </font>
      <fill>
        <patternFill>
          <bgColor rgb="FFFFC7CE"/>
        </patternFill>
      </fill>
    </dxf>
    <dxf>
      <font>
        <color rgb="FF00B050"/>
      </font>
    </dxf>
    <dxf>
      <font>
        <color rgb="FF9C0006"/>
      </font>
      <fill>
        <patternFill>
          <bgColor rgb="FFFFC7CE"/>
        </patternFill>
      </fill>
    </dxf>
    <dxf>
      <font>
        <b/>
        <i val="0"/>
        <color rgb="FFC00000"/>
      </font>
    </dxf>
    <dxf>
      <font>
        <b/>
        <i val="0"/>
        <color theme="5" tint="-0.24994659260841701"/>
      </font>
      <border>
        <left style="thin">
          <color indexed="64"/>
        </left>
        <right style="thin">
          <color indexed="64"/>
        </right>
        <top style="thin">
          <color indexed="64"/>
        </top>
        <bottom style="thin">
          <color indexed="64"/>
        </bottom>
      </border>
    </dxf>
    <dxf>
      <font>
        <color rgb="FFC00000"/>
      </font>
      <border>
        <left style="thin">
          <color rgb="FFC00000"/>
        </left>
        <right style="thin">
          <color rgb="FFC00000"/>
        </right>
        <top style="thin">
          <color rgb="FFC00000"/>
        </top>
        <bottom style="thin">
          <color rgb="FFC00000"/>
        </bottom>
      </border>
    </dxf>
    <dxf>
      <font>
        <color rgb="FF9C0006"/>
      </font>
      <fill>
        <patternFill>
          <bgColor rgb="FFFFC7CE"/>
        </patternFill>
      </fill>
    </dxf>
    <dxf>
      <font>
        <b/>
        <i val="0"/>
        <color theme="5" tint="-0.24994659260841701"/>
      </font>
      <border>
        <left style="thin">
          <color indexed="64"/>
        </left>
        <right style="thin">
          <color indexed="64"/>
        </right>
        <top style="thin">
          <color indexed="64"/>
        </top>
        <bottom style="thin">
          <color indexed="64"/>
        </bottom>
      </border>
    </dxf>
    <dxf>
      <font>
        <color rgb="FFC00000"/>
      </font>
      <border>
        <left style="thin">
          <color rgb="FFC00000"/>
        </left>
        <right style="thin">
          <color rgb="FFC00000"/>
        </right>
        <top style="thin">
          <color rgb="FFC00000"/>
        </top>
        <bottom style="thin">
          <color rgb="FFC00000"/>
        </bottom>
      </border>
    </dxf>
    <dxf>
      <font>
        <color rgb="FF9C0006"/>
      </font>
      <fill>
        <patternFill>
          <bgColor rgb="FFFFC7CE"/>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b/>
        <i val="0"/>
        <color rgb="FFFF0000"/>
      </font>
    </dxf>
    <dxf>
      <fill>
        <patternFill>
          <bgColor rgb="FFFF0000"/>
        </patternFill>
      </fill>
    </dxf>
    <dxf>
      <font>
        <b val="0"/>
        <i val="0"/>
        <strike val="0"/>
        <condense val="0"/>
        <extend val="0"/>
        <outline val="0"/>
        <shadow val="0"/>
        <u val="none"/>
        <vertAlign val="baseline"/>
        <sz val="11"/>
        <color auto="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s>
  <tableStyles count="1" defaultTableStyle="TableStyleMedium2" defaultPivotStyle="PivotStyleLight16">
    <tableStyle name="TableStyleMedium2 2" pivot="0" count="7" xr9:uid="{00000000-0011-0000-FFFF-FFFF00000000}">
      <tableStyleElement type="wholeTable" dxfId="56"/>
      <tableStyleElement type="headerRow" dxfId="55"/>
      <tableStyleElement type="totalRow" dxfId="54"/>
      <tableStyleElement type="firstColumn" dxfId="53"/>
      <tableStyleElement type="lastColumn" dxfId="52"/>
      <tableStyleElement type="firstRowStripe" dxfId="51"/>
      <tableStyleElement type="firstColumnStripe" dxfId="50"/>
    </tableStyle>
  </tableStyles>
  <colors>
    <mruColors>
      <color rgb="FFA8A0F4"/>
      <color rgb="FF553E97"/>
      <color rgb="FF0083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106642</xdr:colOff>
      <xdr:row>0</xdr:row>
      <xdr:rowOff>96947</xdr:rowOff>
    </xdr:from>
    <xdr:to>
      <xdr:col>4</xdr:col>
      <xdr:colOff>9696</xdr:colOff>
      <xdr:row>0</xdr:row>
      <xdr:rowOff>913506</xdr:rowOff>
    </xdr:to>
    <xdr:pic>
      <xdr:nvPicPr>
        <xdr:cNvPr id="3" name="Picture 2">
          <a:extLst>
            <a:ext uri="{FF2B5EF4-FFF2-40B4-BE49-F238E27FC236}">
              <a16:creationId xmlns:a16="http://schemas.microsoft.com/office/drawing/2014/main" id="{F4113B5D-C846-5200-B19A-54744E2A7811}"/>
            </a:ext>
          </a:extLst>
        </xdr:cNvPr>
        <xdr:cNvPicPr>
          <a:picLocks noChangeAspect="1"/>
        </xdr:cNvPicPr>
      </xdr:nvPicPr>
      <xdr:blipFill>
        <a:blip xmlns:r="http://schemas.openxmlformats.org/officeDocument/2006/relationships" r:embed="rId1"/>
        <a:stretch>
          <a:fillRect/>
        </a:stretch>
      </xdr:blipFill>
      <xdr:spPr>
        <a:xfrm>
          <a:off x="106642" y="96947"/>
          <a:ext cx="3150764" cy="816559"/>
        </a:xfrm>
        <a:prstGeom prst="rect">
          <a:avLst/>
        </a:prstGeom>
      </xdr:spPr>
    </xdr:pic>
    <xdr:clientData/>
  </xdr:twoCellAnchor>
  <xdr:twoCellAnchor editAs="oneCell">
    <xdr:from>
      <xdr:col>4</xdr:col>
      <xdr:colOff>48473</xdr:colOff>
      <xdr:row>0</xdr:row>
      <xdr:rowOff>523512</xdr:rowOff>
    </xdr:from>
    <xdr:to>
      <xdr:col>4</xdr:col>
      <xdr:colOff>859296</xdr:colOff>
      <xdr:row>0</xdr:row>
      <xdr:rowOff>756183</xdr:rowOff>
    </xdr:to>
    <xdr:pic>
      <xdr:nvPicPr>
        <xdr:cNvPr id="4" name="Picture 3">
          <a:extLst>
            <a:ext uri="{FF2B5EF4-FFF2-40B4-BE49-F238E27FC236}">
              <a16:creationId xmlns:a16="http://schemas.microsoft.com/office/drawing/2014/main" id="{9DAB791C-69C8-3CE4-850A-0DB17861C882}"/>
            </a:ext>
          </a:extLst>
        </xdr:cNvPr>
        <xdr:cNvPicPr>
          <a:picLocks noChangeAspect="1"/>
        </xdr:cNvPicPr>
      </xdr:nvPicPr>
      <xdr:blipFill>
        <a:blip xmlns:r="http://schemas.openxmlformats.org/officeDocument/2006/relationships" r:embed="rId2"/>
        <a:stretch>
          <a:fillRect/>
        </a:stretch>
      </xdr:blipFill>
      <xdr:spPr>
        <a:xfrm>
          <a:off x="3296183" y="523512"/>
          <a:ext cx="810823" cy="232671"/>
        </a:xfrm>
        <a:prstGeom prst="rect">
          <a:avLst/>
        </a:prstGeom>
      </xdr:spPr>
    </xdr:pic>
    <xdr:clientData/>
  </xdr:twoCellAnchor>
  <xdr:twoCellAnchor editAs="oneCell">
    <xdr:from>
      <xdr:col>0</xdr:col>
      <xdr:colOff>0</xdr:colOff>
      <xdr:row>39</xdr:row>
      <xdr:rowOff>19389</xdr:rowOff>
    </xdr:from>
    <xdr:to>
      <xdr:col>9</xdr:col>
      <xdr:colOff>349583</xdr:colOff>
      <xdr:row>45</xdr:row>
      <xdr:rowOff>0</xdr:rowOff>
    </xdr:to>
    <xdr:pic>
      <xdr:nvPicPr>
        <xdr:cNvPr id="5" name="Picture 4">
          <a:extLst>
            <a:ext uri="{FF2B5EF4-FFF2-40B4-BE49-F238E27FC236}">
              <a16:creationId xmlns:a16="http://schemas.microsoft.com/office/drawing/2014/main" id="{8B4B2154-1017-4F34-0CBF-FF34351632B2}"/>
            </a:ext>
          </a:extLst>
        </xdr:cNvPr>
        <xdr:cNvPicPr>
          <a:picLocks noChangeAspect="1"/>
        </xdr:cNvPicPr>
      </xdr:nvPicPr>
      <xdr:blipFill>
        <a:blip xmlns:r="http://schemas.openxmlformats.org/officeDocument/2006/relationships" r:embed="rId3"/>
        <a:stretch>
          <a:fillRect/>
        </a:stretch>
      </xdr:blipFill>
      <xdr:spPr>
        <a:xfrm>
          <a:off x="0" y="7639389"/>
          <a:ext cx="9258972" cy="794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194504</xdr:colOff>
      <xdr:row>31</xdr:row>
      <xdr:rowOff>80097</xdr:rowOff>
    </xdr:from>
    <xdr:to>
      <xdr:col>8</xdr:col>
      <xdr:colOff>140958</xdr:colOff>
      <xdr:row>33</xdr:row>
      <xdr:rowOff>90894</xdr:rowOff>
    </xdr:to>
    <xdr:pic>
      <xdr:nvPicPr>
        <xdr:cNvPr id="3" name="Picture 2">
          <a:extLst>
            <a:ext uri="{FF2B5EF4-FFF2-40B4-BE49-F238E27FC236}">
              <a16:creationId xmlns:a16="http://schemas.microsoft.com/office/drawing/2014/main" id="{5CFE173C-38D3-DE43-A6E5-6D1DD9704158}"/>
            </a:ext>
          </a:extLst>
        </xdr:cNvPr>
        <xdr:cNvPicPr>
          <a:picLocks noChangeAspect="1"/>
        </xdr:cNvPicPr>
      </xdr:nvPicPr>
      <xdr:blipFill>
        <a:blip xmlns:r="http://schemas.openxmlformats.org/officeDocument/2006/relationships" r:embed="rId1"/>
        <a:stretch>
          <a:fillRect/>
        </a:stretch>
      </xdr:blipFill>
      <xdr:spPr>
        <a:xfrm>
          <a:off x="194504" y="6498746"/>
          <a:ext cx="6845643" cy="594310"/>
        </a:xfrm>
        <a:prstGeom prst="rect">
          <a:avLst/>
        </a:prstGeom>
      </xdr:spPr>
    </xdr:pic>
    <xdr:clientData/>
  </xdr:twoCellAnchor>
  <xdr:twoCellAnchor editAs="oneCell">
    <xdr:from>
      <xdr:col>0</xdr:col>
      <xdr:colOff>194504</xdr:colOff>
      <xdr:row>27</xdr:row>
      <xdr:rowOff>137297</xdr:rowOff>
    </xdr:from>
    <xdr:to>
      <xdr:col>3</xdr:col>
      <xdr:colOff>221754</xdr:colOff>
      <xdr:row>31</xdr:row>
      <xdr:rowOff>130072</xdr:rowOff>
    </xdr:to>
    <xdr:pic>
      <xdr:nvPicPr>
        <xdr:cNvPr id="4" name="Picture 3">
          <a:extLst>
            <a:ext uri="{FF2B5EF4-FFF2-40B4-BE49-F238E27FC236}">
              <a16:creationId xmlns:a16="http://schemas.microsoft.com/office/drawing/2014/main" id="{65EBD321-CD31-C341-B19F-B2E558BAF025}"/>
            </a:ext>
          </a:extLst>
        </xdr:cNvPr>
        <xdr:cNvPicPr>
          <a:picLocks noChangeAspect="1"/>
        </xdr:cNvPicPr>
      </xdr:nvPicPr>
      <xdr:blipFill>
        <a:blip xmlns:r="http://schemas.openxmlformats.org/officeDocument/2006/relationships" r:embed="rId2"/>
        <a:stretch>
          <a:fillRect/>
        </a:stretch>
      </xdr:blipFill>
      <xdr:spPr>
        <a:xfrm>
          <a:off x="194504" y="5732162"/>
          <a:ext cx="3150764" cy="8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3</xdr:col>
      <xdr:colOff>338420</xdr:colOff>
      <xdr:row>37</xdr:row>
      <xdr:rowOff>495300</xdr:rowOff>
    </xdr:to>
    <xdr:pic>
      <xdr:nvPicPr>
        <xdr:cNvPr id="3" name="Picture 2">
          <a:extLst>
            <a:ext uri="{FF2B5EF4-FFF2-40B4-BE49-F238E27FC236}">
              <a16:creationId xmlns:a16="http://schemas.microsoft.com/office/drawing/2014/main" id="{26202A60-FD7B-7D41-89E9-0367C32C12CF}"/>
            </a:ext>
          </a:extLst>
        </xdr:cNvPr>
        <xdr:cNvPicPr>
          <a:picLocks noChangeAspect="1"/>
        </xdr:cNvPicPr>
      </xdr:nvPicPr>
      <xdr:blipFill>
        <a:blip xmlns:r="http://schemas.openxmlformats.org/officeDocument/2006/relationships" r:embed="rId1"/>
        <a:stretch>
          <a:fillRect/>
        </a:stretch>
      </xdr:blipFill>
      <xdr:spPr>
        <a:xfrm>
          <a:off x="0" y="26035000"/>
          <a:ext cx="10206320" cy="876300"/>
        </a:xfrm>
        <a:prstGeom prst="rect">
          <a:avLst/>
        </a:prstGeom>
      </xdr:spPr>
    </xdr:pic>
    <xdr:clientData/>
  </xdr:twoCellAnchor>
  <xdr:twoCellAnchor editAs="oneCell">
    <xdr:from>
      <xdr:col>1</xdr:col>
      <xdr:colOff>0</xdr:colOff>
      <xdr:row>0</xdr:row>
      <xdr:rowOff>0</xdr:rowOff>
    </xdr:from>
    <xdr:to>
      <xdr:col>1</xdr:col>
      <xdr:colOff>3150764</xdr:colOff>
      <xdr:row>0</xdr:row>
      <xdr:rowOff>816559</xdr:rowOff>
    </xdr:to>
    <xdr:pic>
      <xdr:nvPicPr>
        <xdr:cNvPr id="4" name="Picture 3">
          <a:extLst>
            <a:ext uri="{FF2B5EF4-FFF2-40B4-BE49-F238E27FC236}">
              <a16:creationId xmlns:a16="http://schemas.microsoft.com/office/drawing/2014/main" id="{A9357FE3-C8C4-3B45-8E5B-90F6E36D5696}"/>
            </a:ext>
          </a:extLst>
        </xdr:cNvPr>
        <xdr:cNvPicPr>
          <a:picLocks noChangeAspect="1"/>
        </xdr:cNvPicPr>
      </xdr:nvPicPr>
      <xdr:blipFill>
        <a:blip xmlns:r="http://schemas.openxmlformats.org/officeDocument/2006/relationships" r:embed="rId2"/>
        <a:stretch>
          <a:fillRect/>
        </a:stretch>
      </xdr:blipFill>
      <xdr:spPr>
        <a:xfrm>
          <a:off x="355600" y="0"/>
          <a:ext cx="3150764" cy="816559"/>
        </a:xfrm>
        <a:prstGeom prst="rect">
          <a:avLst/>
        </a:prstGeom>
      </xdr:spPr>
    </xdr:pic>
    <xdr:clientData/>
  </xdr:twoCellAnchor>
  <xdr:twoCellAnchor editAs="oneCell">
    <xdr:from>
      <xdr:col>1</xdr:col>
      <xdr:colOff>1182941</xdr:colOff>
      <xdr:row>0</xdr:row>
      <xdr:rowOff>667865</xdr:rowOff>
    </xdr:from>
    <xdr:to>
      <xdr:col>1</xdr:col>
      <xdr:colOff>1993764</xdr:colOff>
      <xdr:row>0</xdr:row>
      <xdr:rowOff>900536</xdr:rowOff>
    </xdr:to>
    <xdr:pic>
      <xdr:nvPicPr>
        <xdr:cNvPr id="5" name="Picture 4">
          <a:extLst>
            <a:ext uri="{FF2B5EF4-FFF2-40B4-BE49-F238E27FC236}">
              <a16:creationId xmlns:a16="http://schemas.microsoft.com/office/drawing/2014/main" id="{14A9E2D9-53AC-0A48-99BC-1BDF08FB6056}"/>
            </a:ext>
          </a:extLst>
        </xdr:cNvPr>
        <xdr:cNvPicPr>
          <a:picLocks noChangeAspect="1"/>
        </xdr:cNvPicPr>
      </xdr:nvPicPr>
      <xdr:blipFill>
        <a:blip xmlns:r="http://schemas.openxmlformats.org/officeDocument/2006/relationships" r:embed="rId3"/>
        <a:stretch>
          <a:fillRect/>
        </a:stretch>
      </xdr:blipFill>
      <xdr:spPr>
        <a:xfrm>
          <a:off x="1538541" y="667865"/>
          <a:ext cx="810823" cy="23267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CF2:CF169" totalsRowShown="0" headerRowDxfId="49" dataDxfId="48">
  <autoFilter ref="CF2:CF169" xr:uid="{00000000-0009-0000-0100-000003000000}"/>
  <tableColumns count="1">
    <tableColumn id="1" xr3:uid="{00000000-0010-0000-0000-000001000000}" name="- COUNTY NOT LISTED -" dataDxfId="47">
      <calculatedColumnFormula>CONCATENATE("(",CE3,") - ",CD3)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ghmc">
  <a:themeElements>
    <a:clrScheme name="GHMC">
      <a:dk1>
        <a:sysClr val="windowText" lastClr="000000"/>
      </a:dk1>
      <a:lt1>
        <a:sysClr val="window" lastClr="FFFFFF"/>
      </a:lt1>
      <a:dk2>
        <a:srgbClr val="44546A"/>
      </a:dk2>
      <a:lt2>
        <a:srgbClr val="E7E6E6"/>
      </a:lt2>
      <a:accent1>
        <a:srgbClr val="33578A"/>
      </a:accent1>
      <a:accent2>
        <a:srgbClr val="003057"/>
      </a:accent2>
      <a:accent3>
        <a:srgbClr val="8DC8E8"/>
      </a:accent3>
      <a:accent4>
        <a:srgbClr val="475D76"/>
      </a:accent4>
      <a:accent5>
        <a:srgbClr val="B9D3DC"/>
      </a:accent5>
      <a:accent6>
        <a:srgbClr val="BBBCB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3"/>
  <sheetViews>
    <sheetView showGridLines="0" tabSelected="1" zoomScale="131" zoomScaleNormal="158" workbookViewId="0">
      <selection activeCell="H6" sqref="H6:I6"/>
    </sheetView>
  </sheetViews>
  <sheetFormatPr defaultColWidth="9" defaultRowHeight="11.25" x14ac:dyDescent="0.2"/>
  <cols>
    <col min="1" max="3" width="9" style="105"/>
    <col min="4" max="4" width="15.42578125" style="105" customWidth="1"/>
    <col min="5" max="5" width="17.28515625" style="105" bestFit="1" customWidth="1"/>
    <col min="6" max="6" width="9" style="105"/>
    <col min="7" max="7" width="13.42578125" style="105" customWidth="1"/>
    <col min="8" max="8" width="9" style="105"/>
    <col min="9" max="9" width="25.42578125" style="105" customWidth="1"/>
    <col min="10" max="10" width="15.28515625" style="105" customWidth="1"/>
    <col min="11" max="11" width="9.140625" style="105" bestFit="1" customWidth="1"/>
    <col min="12" max="12" width="9" style="105"/>
    <col min="13" max="13" width="13.42578125" style="105" customWidth="1"/>
    <col min="14" max="14" width="15.28515625" style="105" customWidth="1"/>
    <col min="15" max="15" width="14" style="105" bestFit="1" customWidth="1"/>
    <col min="16" max="16" width="9.7109375" style="105" bestFit="1" customWidth="1"/>
    <col min="17" max="17" width="41.140625" style="105" bestFit="1" customWidth="1"/>
    <col min="18" max="18" width="9" style="303"/>
    <col min="19" max="19" width="30.28515625" style="303" hidden="1" customWidth="1"/>
    <col min="20" max="20" width="7" style="303" hidden="1" customWidth="1"/>
    <col min="21" max="23" width="9" style="303"/>
    <col min="24" max="16384" width="9" style="105"/>
  </cols>
  <sheetData>
    <row r="1" spans="1:20" ht="78.75" customHeight="1" thickBot="1" x14ac:dyDescent="0.25">
      <c r="G1" s="331" t="s">
        <v>0</v>
      </c>
      <c r="H1" s="331"/>
      <c r="I1" s="331"/>
      <c r="K1" s="324" t="s">
        <v>1</v>
      </c>
      <c r="L1" s="324"/>
      <c r="M1" s="324"/>
      <c r="N1" s="324"/>
      <c r="O1" s="324"/>
      <c r="P1" s="324"/>
      <c r="Q1" s="324"/>
    </row>
    <row r="2" spans="1:20" ht="36.6" customHeight="1" thickBot="1" x14ac:dyDescent="0.25">
      <c r="A2" s="332" t="s">
        <v>2</v>
      </c>
      <c r="B2" s="333"/>
      <c r="C2" s="333"/>
      <c r="D2" s="333"/>
      <c r="E2" s="333"/>
      <c r="F2" s="333"/>
      <c r="G2" s="333"/>
      <c r="H2" s="333"/>
      <c r="I2" s="334"/>
      <c r="J2" s="114"/>
      <c r="K2" s="329" t="s">
        <v>3</v>
      </c>
      <c r="L2" s="329"/>
      <c r="M2" s="329"/>
      <c r="N2" s="329"/>
      <c r="O2" s="329"/>
      <c r="P2" s="329"/>
      <c r="Q2" s="329"/>
      <c r="S2" s="320"/>
    </row>
    <row r="3" spans="1:20" ht="12" thickBot="1" x14ac:dyDescent="0.25">
      <c r="A3" s="1" t="s">
        <v>4</v>
      </c>
      <c r="B3" s="2" t="s">
        <v>5</v>
      </c>
      <c r="C3" s="3"/>
      <c r="D3" s="3"/>
      <c r="E3" s="304" t="s">
        <v>32</v>
      </c>
      <c r="F3" s="335" t="s">
        <v>6</v>
      </c>
      <c r="G3" s="336"/>
      <c r="H3" s="336"/>
      <c r="I3" s="337"/>
      <c r="J3" s="285"/>
      <c r="K3" s="330" t="s">
        <v>7</v>
      </c>
      <c r="L3" s="330"/>
      <c r="M3" s="330"/>
      <c r="N3" s="330"/>
      <c r="O3" s="330"/>
      <c r="P3" s="325"/>
      <c r="Q3" s="326" t="str">
        <f>IF(P3="","",IF(P3&gt;5,"PROCEED TO DATE CALCULATOR","INELIGIBLE"))</f>
        <v/>
      </c>
    </row>
    <row r="4" spans="1:20" ht="12" thickBot="1" x14ac:dyDescent="0.25">
      <c r="A4" s="4" t="s">
        <v>8</v>
      </c>
      <c r="B4" s="343" t="s">
        <v>9</v>
      </c>
      <c r="C4" s="344"/>
      <c r="D4" s="344"/>
      <c r="E4" s="116" t="s">
        <v>32</v>
      </c>
      <c r="F4" s="338"/>
      <c r="G4" s="338"/>
      <c r="H4" s="338"/>
      <c r="I4" s="339"/>
      <c r="J4" s="285"/>
      <c r="K4" s="330"/>
      <c r="L4" s="330"/>
      <c r="M4" s="330"/>
      <c r="N4" s="330"/>
      <c r="O4" s="330"/>
      <c r="P4" s="325"/>
      <c r="Q4" s="326"/>
      <c r="S4" s="321" t="s">
        <v>11</v>
      </c>
      <c r="T4" s="321">
        <v>806500</v>
      </c>
    </row>
    <row r="5" spans="1:20" ht="13.5" thickBot="1" x14ac:dyDescent="0.25">
      <c r="A5" s="345" t="s">
        <v>12</v>
      </c>
      <c r="B5" s="346"/>
      <c r="C5" s="346"/>
      <c r="D5" s="346"/>
      <c r="E5" s="347"/>
      <c r="F5" s="340"/>
      <c r="G5" s="341"/>
      <c r="H5" s="341"/>
      <c r="I5" s="342"/>
      <c r="J5" s="285"/>
      <c r="K5" s="327"/>
      <c r="L5" s="327"/>
      <c r="M5" s="327"/>
      <c r="N5" s="327"/>
      <c r="O5" s="327"/>
      <c r="P5" s="327"/>
      <c r="Q5" s="327"/>
      <c r="S5" s="321" t="s">
        <v>1198</v>
      </c>
      <c r="T5" s="321">
        <v>1209750</v>
      </c>
    </row>
    <row r="6" spans="1:20" ht="15.75" thickBot="1" x14ac:dyDescent="0.3">
      <c r="A6" s="5" t="s">
        <v>13</v>
      </c>
      <c r="B6" s="6" t="s">
        <v>14</v>
      </c>
      <c r="C6" s="7"/>
      <c r="D6" s="7"/>
      <c r="E6" s="136">
        <f>_xlfn.XLOOKUP(H6,S4:S163,T4:T163)</f>
        <v>806500</v>
      </c>
      <c r="F6" s="353" t="s">
        <v>15</v>
      </c>
      <c r="G6" s="354"/>
      <c r="H6" s="355" t="s">
        <v>11</v>
      </c>
      <c r="I6" s="356"/>
      <c r="J6" s="285"/>
      <c r="K6" s="328" t="s">
        <v>16</v>
      </c>
      <c r="L6" s="328"/>
      <c r="M6" s="328"/>
      <c r="N6" s="328"/>
      <c r="O6" s="328"/>
      <c r="P6" s="307"/>
      <c r="Q6" s="326" t="str">
        <f>IF(P7="","",IF(P7-P6&gt;209,"ELIGIBLE","INELIGIBLE"))</f>
        <v/>
      </c>
      <c r="S6" s="321" t="s">
        <v>1199</v>
      </c>
      <c r="T6" s="321">
        <v>1209750</v>
      </c>
    </row>
    <row r="7" spans="1:20" ht="15.75" thickBot="1" x14ac:dyDescent="0.3">
      <c r="A7" s="8" t="s">
        <v>17</v>
      </c>
      <c r="B7" s="9" t="s">
        <v>18</v>
      </c>
      <c r="C7" s="10"/>
      <c r="D7" s="10"/>
      <c r="E7" s="137">
        <v>2000000</v>
      </c>
      <c r="F7" s="283" t="s">
        <v>19</v>
      </c>
      <c r="G7" s="138"/>
      <c r="H7" s="366" t="s">
        <v>32</v>
      </c>
      <c r="I7" s="367"/>
      <c r="J7" s="286"/>
      <c r="K7" s="328" t="s">
        <v>21</v>
      </c>
      <c r="L7" s="328"/>
      <c r="M7" s="328"/>
      <c r="N7" s="328"/>
      <c r="O7" s="328"/>
      <c r="P7" s="307"/>
      <c r="Q7" s="326"/>
      <c r="S7" s="321" t="s">
        <v>1200</v>
      </c>
      <c r="T7" s="321">
        <v>1209750</v>
      </c>
    </row>
    <row r="8" spans="1:20" ht="12" thickBot="1" x14ac:dyDescent="0.25">
      <c r="A8" s="290" t="s">
        <v>22</v>
      </c>
      <c r="B8" s="291"/>
      <c r="C8" s="291"/>
      <c r="D8" s="291"/>
      <c r="E8" s="291"/>
      <c r="F8" s="291"/>
      <c r="G8" s="291"/>
      <c r="H8" s="293"/>
      <c r="I8" s="294"/>
      <c r="J8" s="285"/>
      <c r="K8" s="285"/>
      <c r="L8" s="285"/>
      <c r="M8" s="285"/>
      <c r="N8" s="285"/>
      <c r="O8" s="284"/>
      <c r="P8" s="284"/>
      <c r="Q8" s="284"/>
      <c r="S8" s="321" t="s">
        <v>1201</v>
      </c>
      <c r="T8" s="321">
        <v>1209750</v>
      </c>
    </row>
    <row r="9" spans="1:20" ht="15.75" thickBot="1" x14ac:dyDescent="0.3">
      <c r="A9" s="8" t="s">
        <v>23</v>
      </c>
      <c r="B9" s="11" t="s">
        <v>24</v>
      </c>
      <c r="C9" s="12"/>
      <c r="D9" s="13"/>
      <c r="E9" s="12"/>
      <c r="F9" s="12"/>
      <c r="G9" s="12"/>
      <c r="H9" s="14"/>
      <c r="I9" s="117"/>
      <c r="J9" s="285"/>
      <c r="K9" s="327" t="s">
        <v>25</v>
      </c>
      <c r="L9" s="327"/>
      <c r="M9" s="327"/>
      <c r="N9" s="327"/>
      <c r="O9" s="327"/>
      <c r="P9" s="327"/>
      <c r="Q9" s="308" t="str">
        <f>IF(AND(Q3="",Q6=""),"DOES NOT MEET SEASONING REQUIREMENTS",IF(AND(Q3="Proceed to Date Calculator",Q6="eligible"),"MEETS SEASONING REQUIREMENTS","DOES NOT MEET SEASONING REQUIREMENTS"))</f>
        <v>DOES NOT MEET SEASONING REQUIREMENTS</v>
      </c>
      <c r="S9" s="321" t="s">
        <v>1202</v>
      </c>
      <c r="T9" s="321">
        <v>1209750</v>
      </c>
    </row>
    <row r="10" spans="1:20" ht="12" thickBot="1" x14ac:dyDescent="0.25">
      <c r="A10" s="15" t="s">
        <v>26</v>
      </c>
      <c r="B10" s="11" t="s">
        <v>27</v>
      </c>
      <c r="C10" s="12"/>
      <c r="D10" s="12"/>
      <c r="E10" s="12"/>
      <c r="F10" s="357" t="str">
        <f>IF(H7="","Please select purchase or refinance above",IF(AND(H7="Refinance",I10&gt;0),"Sales price must be zero for refinances",IF(AND(H7="Purchase",OR(I10="", I10=0)),"Sales price must be entered for purchases","")))</f>
        <v/>
      </c>
      <c r="G10" s="357"/>
      <c r="H10" s="368"/>
      <c r="I10" s="117"/>
      <c r="J10" s="285"/>
      <c r="K10" s="285"/>
      <c r="L10" s="285"/>
      <c r="M10" s="285"/>
      <c r="N10" s="285"/>
      <c r="O10" s="284"/>
      <c r="P10" s="284"/>
      <c r="Q10" s="284"/>
      <c r="S10" s="321" t="s">
        <v>1203</v>
      </c>
      <c r="T10" s="321">
        <v>1209750</v>
      </c>
    </row>
    <row r="11" spans="1:20" ht="12" thickBot="1" x14ac:dyDescent="0.25">
      <c r="A11" s="16" t="s">
        <v>28</v>
      </c>
      <c r="B11" s="17" t="s">
        <v>29</v>
      </c>
      <c r="C11" s="18"/>
      <c r="D11" s="19"/>
      <c r="E11" s="357" t="str">
        <f>IF(I11="","Appraised Value Field Must Be Completed","")</f>
        <v/>
      </c>
      <c r="F11" s="358"/>
      <c r="G11" s="358"/>
      <c r="H11" s="359"/>
      <c r="I11" s="118">
        <v>0</v>
      </c>
      <c r="J11" s="285"/>
      <c r="K11" s="285"/>
      <c r="L11" s="285"/>
      <c r="M11" s="285" t="s">
        <v>30</v>
      </c>
      <c r="N11" s="309" t="str">
        <f>IF(AND(H7="Purchase",N12&lt;=1000000,I10&gt;0),I9/MIN(I10,I11),IF(AND(H7="Purchase",N12&gt;1000000,I10&gt;0),(I9+I30)/MIN(I10,I11),IF(AND(H7="Refinance",I11&gt;0),I9/I11,"")))</f>
        <v/>
      </c>
      <c r="O11" s="284"/>
      <c r="P11" s="284"/>
      <c r="Q11" s="284"/>
      <c r="S11" s="321" t="s">
        <v>1204</v>
      </c>
      <c r="T11" s="321">
        <v>1209750</v>
      </c>
    </row>
    <row r="12" spans="1:20" x14ac:dyDescent="0.2">
      <c r="A12" s="20" t="s">
        <v>31</v>
      </c>
      <c r="B12" s="21" t="str">
        <f>IF(H7="Select One","Lesser of Sales Price, Appraised Value, Or Base Loan Amount",IF(H7="Purchase","Lesser of Sales Price and Appraised Value",IF(H7="Refinance","Lesser of Base Loan Amount And Appraised Value")))</f>
        <v>Lesser of Sales Price, Appraised Value, Or Base Loan Amount</v>
      </c>
      <c r="C12" s="18"/>
      <c r="D12" s="18"/>
      <c r="E12" s="22"/>
      <c r="F12" s="360" t="str">
        <f>IFERROR(IF(I9+I30&gt;1500000,"Total loan amount cannot exceed $1,500,000",IF(I21&gt;0,"",IF(AND(H7="Purchase",I9&gt;1000000,I9/I12&gt;0.9),"Base + funding fee cannot exceed 90% for loan amounts &gt; $1,000,000",IF(AND(H7="Purchase",(I9+I30)&gt;1000000,I22&gt;0,I9+I30&lt;=1500000,N13&gt;0.9),"Requested base loan amount has been reduced by a Required Down Payment.  Please see line S for the maximum allowed base loan amount",IF(AND(H7="Refinance",I9+I30&lt;=1500000,N11&gt;=0.9001),"Refinances Cannot exceed 90% LTV",IF(AND(H7="Purchase",(I9+I30)&gt;1000000,I22&gt;0,I9+I30&lt;=1500000,I11&lt;I10),"Requested base loan amount has been reduced by a Required Down Payment.  Please see line S for the maximum allowed base loan amount","")))))),"")</f>
        <v/>
      </c>
      <c r="G12" s="361"/>
      <c r="H12" s="362"/>
      <c r="I12" s="134">
        <f>IF(H7="Purchase",MIN(I10,I11),IF(AND(H7="Refinance",N11&lt;0.9001),MIN(I9,I11),IF(AND(H7="Refinance",N11&gt;0.9001),"Refi &gt; 90% Ineligible",0)))</f>
        <v>0</v>
      </c>
      <c r="J12" s="285"/>
      <c r="K12" s="285"/>
      <c r="L12" s="285"/>
      <c r="M12" s="285"/>
      <c r="N12" s="310"/>
      <c r="O12" s="284"/>
      <c r="P12" s="284"/>
      <c r="Q12" s="284" t="s">
        <v>32</v>
      </c>
      <c r="S12" s="321" t="s">
        <v>1205</v>
      </c>
      <c r="T12" s="321">
        <v>1209750</v>
      </c>
    </row>
    <row r="13" spans="1:20" x14ac:dyDescent="0.2">
      <c r="A13" s="290" t="s">
        <v>33</v>
      </c>
      <c r="B13" s="291"/>
      <c r="C13" s="291"/>
      <c r="D13" s="291"/>
      <c r="E13" s="291"/>
      <c r="F13" s="291"/>
      <c r="G13" s="291"/>
      <c r="H13" s="291"/>
      <c r="I13" s="292"/>
      <c r="J13" s="285"/>
      <c r="K13" s="285"/>
      <c r="L13" s="285"/>
      <c r="M13" s="285" t="s">
        <v>34</v>
      </c>
      <c r="N13" s="311" t="e">
        <f>IF(I10=0,(I9+I30)/I11,(I9+I30)/MIN(I10,I11))</f>
        <v>#VALUE!</v>
      </c>
      <c r="O13" s="284"/>
      <c r="P13" s="284"/>
      <c r="Q13" s="287">
        <v>0</v>
      </c>
      <c r="S13" s="321" t="s">
        <v>1206</v>
      </c>
      <c r="T13" s="321">
        <v>1209750</v>
      </c>
    </row>
    <row r="14" spans="1:20" ht="12" thickBot="1" x14ac:dyDescent="0.25">
      <c r="A14" s="20" t="s">
        <v>35</v>
      </c>
      <c r="B14" s="106" t="s">
        <v>36</v>
      </c>
      <c r="C14" s="107"/>
      <c r="D14" s="107"/>
      <c r="E14" s="107"/>
      <c r="F14" s="107"/>
      <c r="G14" s="107"/>
      <c r="H14" s="24"/>
      <c r="I14" s="132">
        <v>36000</v>
      </c>
      <c r="J14" s="285"/>
      <c r="K14" s="285"/>
      <c r="L14" s="285"/>
      <c r="M14" s="285"/>
      <c r="N14" s="285"/>
      <c r="O14" s="284"/>
      <c r="P14" s="284"/>
      <c r="Q14" s="287">
        <v>5.0000000000000001E-3</v>
      </c>
      <c r="S14" s="321" t="s">
        <v>1207</v>
      </c>
      <c r="T14" s="321">
        <v>1209750</v>
      </c>
    </row>
    <row r="15" spans="1:20" ht="12" thickBot="1" x14ac:dyDescent="0.25">
      <c r="A15" s="20" t="s">
        <v>37</v>
      </c>
      <c r="B15" s="108" t="s">
        <v>38</v>
      </c>
      <c r="C15" s="107"/>
      <c r="D15" s="107"/>
      <c r="E15" s="107"/>
      <c r="F15" s="107"/>
      <c r="G15" s="109"/>
      <c r="H15" s="24"/>
      <c r="I15" s="133">
        <f>IF(AND(E4="Full Entitlement",I9&gt;144000),I12*0.25-I14,IF(AND(E4="Partial Entitlement",I9&gt;144000),E6*0.25-I14,IF(I9&lt;=144000,0,"")))</f>
        <v>0</v>
      </c>
      <c r="J15" s="285"/>
      <c r="K15" s="285"/>
      <c r="L15" s="285"/>
      <c r="M15" s="285"/>
      <c r="N15" s="285"/>
      <c r="O15" s="284"/>
      <c r="P15" s="284"/>
      <c r="Q15" s="287">
        <v>0.01</v>
      </c>
      <c r="S15" s="321" t="s">
        <v>1208</v>
      </c>
      <c r="T15" s="321">
        <v>1209750</v>
      </c>
    </row>
    <row r="16" spans="1:20" ht="36" customHeight="1" thickBot="1" x14ac:dyDescent="0.25">
      <c r="A16" s="20" t="s">
        <v>39</v>
      </c>
      <c r="B16" s="363" t="s">
        <v>40</v>
      </c>
      <c r="C16" s="364"/>
      <c r="D16" s="364"/>
      <c r="E16" s="364"/>
      <c r="F16" s="364"/>
      <c r="G16" s="364"/>
      <c r="H16" s="365"/>
      <c r="I16" s="118"/>
      <c r="J16" s="369" t="str">
        <f>IF(AND(E4="Full Entitlement",I16&gt;0),"Cannot Be &gt; $0.00 When Full Entitlement Is Chosen On Line B",IF(AND(E4="Partial Entitlement",I16=0),"Cannot Be Zero When Partial Entitlement is Chosen on Line B",""))</f>
        <v/>
      </c>
      <c r="K16" s="370"/>
      <c r="L16" s="370"/>
      <c r="M16" s="372" t="s">
        <v>41</v>
      </c>
      <c r="N16" s="372"/>
      <c r="O16" s="372"/>
      <c r="P16" s="372"/>
      <c r="Q16" s="287">
        <v>1.2500000000000001E-2</v>
      </c>
      <c r="S16" s="321" t="s">
        <v>1209</v>
      </c>
      <c r="T16" s="321">
        <v>1209750</v>
      </c>
    </row>
    <row r="17" spans="1:20" ht="12" customHeight="1" thickBot="1" x14ac:dyDescent="0.25">
      <c r="A17" s="20" t="s">
        <v>42</v>
      </c>
      <c r="B17" s="17" t="s">
        <v>43</v>
      </c>
      <c r="C17" s="18"/>
      <c r="D17" s="382" t="str">
        <f>IF(I17&lt;=0,"There is no guaranty entitlement available, the transaction is ineligible","")</f>
        <v/>
      </c>
      <c r="E17" s="383"/>
      <c r="F17" s="383"/>
      <c r="G17" s="383"/>
      <c r="H17" s="384"/>
      <c r="I17" s="135">
        <f>I14+I15-I16</f>
        <v>36000</v>
      </c>
      <c r="J17" s="274" t="b">
        <f>IF(H7="Purchase",IF(I12&gt;0,I17/I12,0),IF(H7="Refinance",IF(I11&gt;0,I17/I11,0)))</f>
        <v>0</v>
      </c>
      <c r="K17" s="272"/>
      <c r="L17" s="114"/>
      <c r="M17" s="373" t="s">
        <v>1352</v>
      </c>
      <c r="N17" s="373"/>
      <c r="O17" s="373"/>
      <c r="P17" s="322" t="s">
        <v>32</v>
      </c>
      <c r="Q17" s="287">
        <v>1.4999999999999999E-2</v>
      </c>
      <c r="S17" s="321" t="s">
        <v>1210</v>
      </c>
      <c r="T17" s="321">
        <v>1209750</v>
      </c>
    </row>
    <row r="18" spans="1:20" ht="12" thickBot="1" x14ac:dyDescent="0.25">
      <c r="A18" s="20" t="s">
        <v>44</v>
      </c>
      <c r="B18" s="23" t="s">
        <v>45</v>
      </c>
      <c r="C18" s="18"/>
      <c r="D18" s="18"/>
      <c r="E18" s="18"/>
      <c r="F18" s="18"/>
      <c r="G18" s="18"/>
      <c r="H18" s="24"/>
      <c r="I18" s="135">
        <f>IF(H7="Purchase",I12*0.25, IF(H7="Refinance",I11*0.25,0))</f>
        <v>0</v>
      </c>
      <c r="J18" s="272"/>
      <c r="K18" s="275"/>
      <c r="L18" s="114"/>
      <c r="M18" s="373"/>
      <c r="N18" s="373"/>
      <c r="O18" s="373"/>
      <c r="P18" s="322"/>
      <c r="Q18" s="287">
        <v>2.1499999999999998E-2</v>
      </c>
      <c r="S18" s="321" t="s">
        <v>1211</v>
      </c>
      <c r="T18" s="321">
        <v>1209750</v>
      </c>
    </row>
    <row r="19" spans="1:20" x14ac:dyDescent="0.2">
      <c r="A19" s="290" t="s">
        <v>46</v>
      </c>
      <c r="B19" s="295"/>
      <c r="C19" s="295"/>
      <c r="D19" s="295"/>
      <c r="E19" s="295"/>
      <c r="F19" s="295"/>
      <c r="G19" s="295"/>
      <c r="H19" s="295"/>
      <c r="I19" s="296"/>
      <c r="J19" s="272"/>
      <c r="K19" s="385" t="s">
        <v>47</v>
      </c>
      <c r="L19" s="114"/>
      <c r="M19" s="373"/>
      <c r="N19" s="373"/>
      <c r="O19" s="373"/>
      <c r="P19" s="322"/>
      <c r="Q19" s="287">
        <v>3.3000000000000002E-2</v>
      </c>
      <c r="S19" s="321" t="s">
        <v>1212</v>
      </c>
      <c r="T19" s="321">
        <v>1209750</v>
      </c>
    </row>
    <row r="20" spans="1:20" x14ac:dyDescent="0.2">
      <c r="A20" s="20" t="s">
        <v>48</v>
      </c>
      <c r="B20" s="25" t="s">
        <v>49</v>
      </c>
      <c r="C20" s="18"/>
      <c r="D20" s="18"/>
      <c r="E20" s="18"/>
      <c r="F20" s="18"/>
      <c r="G20" s="26"/>
      <c r="H20" s="24"/>
      <c r="I20" s="130">
        <f>IF(I18&gt;I17,I18-I17,0)</f>
        <v>0</v>
      </c>
      <c r="J20" s="276"/>
      <c r="K20" s="386"/>
      <c r="L20" s="114"/>
      <c r="M20" s="373"/>
      <c r="N20" s="373"/>
      <c r="O20" s="373"/>
      <c r="P20" s="322"/>
      <c r="Q20" s="284"/>
      <c r="S20" s="321" t="s">
        <v>1213</v>
      </c>
      <c r="T20" s="321">
        <v>1209750</v>
      </c>
    </row>
    <row r="21" spans="1:20" x14ac:dyDescent="0.2">
      <c r="A21" s="20" t="s">
        <v>50</v>
      </c>
      <c r="B21" s="25" t="str">
        <f>IF(H7="Purchase","Down Payment Due from Sales Price Exceeding Value",IF(H7="Refinance","Equity Available in Property","Difference in Loan Amount and Value"))</f>
        <v>Difference in Loan Amount and Value</v>
      </c>
      <c r="C21" s="18"/>
      <c r="D21" s="18"/>
      <c r="E21" s="18"/>
      <c r="F21" s="18"/>
      <c r="G21" s="26"/>
      <c r="H21" s="24"/>
      <c r="I21" s="125">
        <f>IF(H7="Purchase",IF(I11&lt;I10,I10-I11,0),IF(H7="Refinance",I11-I9,0))</f>
        <v>0</v>
      </c>
      <c r="J21" s="276"/>
      <c r="K21" s="386"/>
      <c r="L21" s="114"/>
      <c r="M21" s="373"/>
      <c r="N21" s="373"/>
      <c r="O21" s="373"/>
      <c r="P21" s="322"/>
      <c r="Q21" s="284"/>
      <c r="S21" s="321" t="s">
        <v>1214</v>
      </c>
      <c r="T21" s="321">
        <v>1209750</v>
      </c>
    </row>
    <row r="22" spans="1:20" ht="12" thickBot="1" x14ac:dyDescent="0.25">
      <c r="A22" s="20" t="s">
        <v>51</v>
      </c>
      <c r="B22" s="25" t="s">
        <v>52</v>
      </c>
      <c r="C22" s="18"/>
      <c r="D22" s="18"/>
      <c r="E22" s="18"/>
      <c r="F22" s="18"/>
      <c r="G22" s="18"/>
      <c r="H22" s="24"/>
      <c r="I22" s="126">
        <f>IF(H7="Purchase",SUM(I20:I21),IF(AND(H7="Refinance",I20&gt;I21),I20-I21,0))</f>
        <v>0</v>
      </c>
      <c r="J22" s="277"/>
      <c r="K22" s="387"/>
      <c r="L22" s="285"/>
      <c r="M22" s="373" t="s">
        <v>53</v>
      </c>
      <c r="N22" s="373"/>
      <c r="O22" s="373"/>
      <c r="P22" s="322" t="s">
        <v>32</v>
      </c>
      <c r="Q22" s="284"/>
      <c r="S22" s="321" t="s">
        <v>1215</v>
      </c>
      <c r="T22" s="321">
        <v>1209750</v>
      </c>
    </row>
    <row r="23" spans="1:20" ht="12" thickBot="1" x14ac:dyDescent="0.25">
      <c r="A23" s="20" t="s">
        <v>54</v>
      </c>
      <c r="B23" s="25" t="s">
        <v>55</v>
      </c>
      <c r="C23" s="18"/>
      <c r="D23" s="18"/>
      <c r="E23" s="18"/>
      <c r="F23" s="18"/>
      <c r="G23" s="18"/>
      <c r="H23" s="24"/>
      <c r="I23" s="118">
        <v>0</v>
      </c>
      <c r="J23" s="277"/>
      <c r="K23" s="278">
        <f>J17+J24</f>
        <v>0</v>
      </c>
      <c r="L23" s="114"/>
      <c r="M23" s="373"/>
      <c r="N23" s="373"/>
      <c r="O23" s="373"/>
      <c r="P23" s="322"/>
      <c r="Q23" s="284"/>
      <c r="S23" s="321" t="s">
        <v>1216</v>
      </c>
      <c r="T23" s="321">
        <v>1209750</v>
      </c>
    </row>
    <row r="24" spans="1:20" x14ac:dyDescent="0.2">
      <c r="A24" s="20" t="s">
        <v>56</v>
      </c>
      <c r="B24" s="25" t="str">
        <f>IF(H7="Purchase","Total Down Payment",IF(H7="Refinance","Total Down Payment Plus Equity","Total Investment"))</f>
        <v>Total Investment</v>
      </c>
      <c r="C24" s="27"/>
      <c r="D24" s="27"/>
      <c r="E24" s="27"/>
      <c r="F24" s="27"/>
      <c r="G24" s="26"/>
      <c r="H24" s="28"/>
      <c r="I24" s="131">
        <f>IF(H7="Purchase",I22+I23,IF(H7="Refinance",I21+I22+I23,0))</f>
        <v>0</v>
      </c>
      <c r="J24" s="274" t="b">
        <f>IF(H7="Purchase",IF(I12&gt;0,(I20+I23)/I12,0),IF(H7="Refinance",IF(I11&gt;0,I24/I11,0)))</f>
        <v>0</v>
      </c>
      <c r="K24" s="272"/>
      <c r="L24" s="114"/>
      <c r="M24" s="313" t="s">
        <v>57</v>
      </c>
      <c r="N24" s="313"/>
      <c r="O24" s="313"/>
      <c r="P24" s="312" t="s">
        <v>32</v>
      </c>
      <c r="Q24" s="284"/>
      <c r="S24" s="321" t="s">
        <v>1217</v>
      </c>
      <c r="T24" s="321">
        <v>1209750</v>
      </c>
    </row>
    <row r="25" spans="1:20" x14ac:dyDescent="0.2">
      <c r="A25" s="297" t="s">
        <v>58</v>
      </c>
      <c r="B25" s="298"/>
      <c r="C25" s="291"/>
      <c r="D25" s="291"/>
      <c r="E25" s="291"/>
      <c r="F25" s="291"/>
      <c r="G25" s="291"/>
      <c r="H25" s="291"/>
      <c r="I25" s="292"/>
      <c r="J25" s="282" t="str">
        <f>IF((I8-I23&lt;=144000)*AND(I8&gt;0),"Error: Sales Price - Veteran's Additional Down Payment Must be &gt;$144,000.00","")</f>
        <v/>
      </c>
      <c r="K25" s="115"/>
      <c r="L25" s="114"/>
      <c r="M25" s="323" t="s">
        <v>59</v>
      </c>
      <c r="N25" s="323"/>
      <c r="O25" s="323"/>
      <c r="P25" s="312" t="s">
        <v>32</v>
      </c>
      <c r="Q25" s="284"/>
      <c r="S25" s="321" t="s">
        <v>1218</v>
      </c>
      <c r="T25" s="321">
        <v>1209750</v>
      </c>
    </row>
    <row r="26" spans="1:20" ht="15" x14ac:dyDescent="0.2">
      <c r="A26" s="20" t="s">
        <v>60</v>
      </c>
      <c r="B26" s="388" t="s">
        <v>61</v>
      </c>
      <c r="C26" s="389"/>
      <c r="D26" s="389"/>
      <c r="E26" s="390"/>
      <c r="F26" s="390"/>
      <c r="G26" s="390"/>
      <c r="H26" s="391"/>
      <c r="I26" s="125">
        <f>IF(AND(I9&lt;=1000000,I12&gt;1000000),1000000,IF(AND(H7="Purchase",O37&lt;=1000000,I21=0),I12-I24,IF(AND(H7="Purchase",O37&lt;=1000000,I21&gt;0),I11-I20,IF(AND(H7="Purchase",O37&gt;1000000,I21&gt;0,(I11-I24)&gt;I11*0.9),I11*0.9,IF(AND(H7="Purchase",O37&gt;1000000,I21&gt;0,(I11-I24)&lt;I11*0.9),I11-I24,IF(AND(H7="Purchase",O37&gt;1000000),TRUNC(I12*0.9)-I22,O38))))))</f>
        <v>0</v>
      </c>
      <c r="J26" s="114"/>
      <c r="K26" s="114"/>
      <c r="L26" s="114"/>
      <c r="M26" s="371" t="str">
        <f>IF(AND(P17="yes",P22="yes",P24="yes",P25="yes"), "Transaction meets recoupment requirements", "Transaction does not meet recoupment requirements")</f>
        <v>Transaction does not meet recoupment requirements</v>
      </c>
      <c r="N26" s="371"/>
      <c r="O26" s="371"/>
      <c r="P26" s="371"/>
      <c r="Q26" s="284"/>
      <c r="S26" s="321" t="s">
        <v>1219</v>
      </c>
      <c r="T26" s="321">
        <v>1209750</v>
      </c>
    </row>
    <row r="27" spans="1:20" x14ac:dyDescent="0.2">
      <c r="A27" s="20" t="s">
        <v>62</v>
      </c>
      <c r="B27" s="388" t="s">
        <v>63</v>
      </c>
      <c r="C27" s="389"/>
      <c r="D27" s="390" t="str">
        <f>IF(AND(H7="Purchase",O35&gt;0.9501,OR(E3=1.4%,E3=1.65%)),"Down Payment Less Than 5%. Check Guidelines to verify VA Funding Fee %",IF(AND(H7="Purchase",O35&lt;0.9501,O35&gt;=0.9001,E3&lt;&gt;1.65%,E3&lt;&gt;0%),"Down Payment Greater Than 5% And Less Than 10% Check Guidelines to verify VA Funding Fee %",IF(AND(H7="Purchase",O35&lt;0.9001,O35&gt;0,E3&lt;&gt;1.4%,E3&lt;&gt;0%),"Down Payment Is 10% Or Greater. Check Guidelines to verify VA Funding Fee %",IF(AND(H7="Refinance",OR(E3=1.4%,E3=1.65%)),"VA Funding Fee % selected is not valid for Refinance loans",""))))</f>
        <v/>
      </c>
      <c r="E27" s="390"/>
      <c r="F27" s="390"/>
      <c r="G27" s="390"/>
      <c r="H27" s="391"/>
      <c r="I27" s="126" t="str">
        <f>IFERROR(I26*E3,"")</f>
        <v/>
      </c>
      <c r="J27" s="279"/>
      <c r="K27" s="279"/>
      <c r="L27" s="279"/>
      <c r="M27" s="313"/>
      <c r="N27" s="313"/>
      <c r="O27" s="313"/>
      <c r="P27" s="284"/>
      <c r="Q27" s="284"/>
      <c r="S27" s="321" t="s">
        <v>1220</v>
      </c>
      <c r="T27" s="321">
        <v>1209750</v>
      </c>
    </row>
    <row r="28" spans="1:20" x14ac:dyDescent="0.2">
      <c r="A28" s="15" t="s">
        <v>64</v>
      </c>
      <c r="B28" s="29" t="s">
        <v>65</v>
      </c>
      <c r="C28" s="112"/>
      <c r="D28" s="112"/>
      <c r="E28" s="30"/>
      <c r="F28" s="24"/>
      <c r="G28" s="24"/>
      <c r="H28" s="31"/>
      <c r="I28" s="127" t="str">
        <f>IFERROR(I27-TRUNC(I27),"")</f>
        <v/>
      </c>
      <c r="J28" s="280"/>
      <c r="K28" s="348"/>
      <c r="L28" s="348"/>
      <c r="M28" s="377"/>
      <c r="N28" s="377"/>
      <c r="O28" s="377"/>
      <c r="P28" s="377"/>
      <c r="Q28" s="284"/>
      <c r="S28" s="321" t="s">
        <v>1221</v>
      </c>
      <c r="T28" s="321">
        <v>1209750</v>
      </c>
    </row>
    <row r="29" spans="1:20" x14ac:dyDescent="0.2">
      <c r="A29" s="15" t="s">
        <v>66</v>
      </c>
      <c r="B29" s="29" t="s">
        <v>67</v>
      </c>
      <c r="C29" s="32"/>
      <c r="D29" s="32"/>
      <c r="E29" s="32"/>
      <c r="F29" s="32"/>
      <c r="G29" s="24"/>
      <c r="H29" s="31"/>
      <c r="I29" s="128">
        <f>IF(I9&lt;=1000000,0,IF(AND(H7="Refinance",O36&gt;0.900001),I27-I28-I30,IF(AND(H7="Purchase",O37&gt;1000000,O36&gt;0.900001,I21=0),MIN(I9-I26+(I27-I28),I27-I28),IF(AND(H7="Purchase",O37&gt;1000000,O36&gt;0.900001,I21&gt;0),I27-I28,0))))</f>
        <v>0</v>
      </c>
      <c r="J29" s="280" t="s">
        <v>68</v>
      </c>
      <c r="K29" s="348"/>
      <c r="L29" s="348"/>
      <c r="M29" s="377"/>
      <c r="N29" s="377"/>
      <c r="O29" s="377"/>
      <c r="P29" s="377"/>
      <c r="Q29" s="284"/>
      <c r="S29" s="321" t="s">
        <v>1222</v>
      </c>
      <c r="T29" s="321">
        <v>1209750</v>
      </c>
    </row>
    <row r="30" spans="1:20" x14ac:dyDescent="0.2">
      <c r="A30" s="20" t="s">
        <v>69</v>
      </c>
      <c r="B30" s="388" t="s">
        <v>70</v>
      </c>
      <c r="C30" s="389"/>
      <c r="D30" s="389"/>
      <c r="E30" s="389"/>
      <c r="F30" s="389"/>
      <c r="G30" s="389"/>
      <c r="H30" s="31"/>
      <c r="I30" s="129" t="str">
        <f>IFERROR(IF(AND(H7="Refinance",I11&lt;&gt;"",I11&gt;0,(I26+I27-I28)/I11&gt;=0.9001),TRUNC(I11*0.9)-I26,IF(AND(H7="Purchase",I11&lt;&gt;"",I11&gt;0,I9&lt;=1000000), I27-I28,IF(AND(H7="Purchase",I11&lt;&gt;"",I11&gt;0,I9+(I9*E3)&gt;1000000,(I26+I27-I28)/I11&gt;=0.9,I21=0),TRUNC(I26-(I11*0.9)+I22),IF(AND(H7="Purchase",I11&lt;&gt;"",I11&gt;0,I9+(I9*E3)&gt;1000000,(I26+I27-I28)/I11&gt;=0.9,I21&gt;0),TRUNC(I26-(I11*0.9)),I27-I28)))),"")</f>
        <v/>
      </c>
      <c r="J30" s="280"/>
      <c r="K30" s="348"/>
      <c r="L30" s="348"/>
      <c r="M30" s="378"/>
      <c r="N30" s="378"/>
      <c r="O30" s="378"/>
      <c r="P30" s="378"/>
      <c r="Q30" s="303"/>
      <c r="S30" s="321" t="s">
        <v>1223</v>
      </c>
      <c r="T30" s="321">
        <v>1209750</v>
      </c>
    </row>
    <row r="31" spans="1:20" x14ac:dyDescent="0.2">
      <c r="A31" s="20" t="s">
        <v>71</v>
      </c>
      <c r="B31" s="351" t="s">
        <v>72</v>
      </c>
      <c r="C31" s="352"/>
      <c r="D31" s="352"/>
      <c r="E31" s="352"/>
      <c r="F31" s="352"/>
      <c r="G31" s="113"/>
      <c r="H31" s="24"/>
      <c r="I31" s="125" t="e">
        <f>IF(D17="There is no guaranty entitlement available, the transaction is ineligible","Ineligible",IF(E12="",I26+I30,IF(AND(I7="Refinance",E12=""),I26+I30,IF(AND(I7="Refinance",E12&lt;&gt;""),"Error, See Row H",IF(AND(I7="Purchase",E12=""),I26+I30,IF(AND(I7="Purchase",E12&lt;&gt;"",I22&gt;0),I26+I30,IF(AND(I7="Purchase",E12="Requested base loan amount has been reduced by a Required Down Payment.  Please see line S for the maximum allowed base loan amount"),I26+I30,"Error, See Row H")))))))</f>
        <v>#VALUE!</v>
      </c>
      <c r="J31" s="280"/>
      <c r="K31" s="348"/>
      <c r="L31" s="348"/>
      <c r="M31" s="378"/>
      <c r="N31" s="378"/>
      <c r="O31" s="378"/>
      <c r="P31" s="378"/>
      <c r="Q31" s="303"/>
      <c r="S31" s="321" t="s">
        <v>1224</v>
      </c>
      <c r="T31" s="321">
        <v>1209750</v>
      </c>
    </row>
    <row r="32" spans="1:20" x14ac:dyDescent="0.2">
      <c r="A32" s="33"/>
      <c r="B32" s="349" t="str">
        <f>IF(D17="There is no guaranty entitlement available, the transaction is ineligible","There is no guaranty entitlement available, the transaction is ineligible","")</f>
        <v/>
      </c>
      <c r="C32" s="349"/>
      <c r="D32" s="349"/>
      <c r="E32" s="349"/>
      <c r="F32" s="349"/>
      <c r="G32" s="349"/>
      <c r="H32" s="349"/>
      <c r="I32" s="350"/>
      <c r="J32" s="280"/>
      <c r="K32" s="288"/>
      <c r="L32" s="288"/>
      <c r="M32" s="305"/>
      <c r="N32" s="305"/>
      <c r="O32" s="303"/>
      <c r="P32" s="303"/>
      <c r="Q32" s="303"/>
      <c r="S32" s="321" t="s">
        <v>1225</v>
      </c>
      <c r="T32" s="321">
        <v>1209750</v>
      </c>
    </row>
    <row r="33" spans="1:20" x14ac:dyDescent="0.2">
      <c r="A33" s="392" t="s">
        <v>73</v>
      </c>
      <c r="B33" s="393"/>
      <c r="C33" s="394"/>
      <c r="D33" s="395"/>
      <c r="E33" s="396"/>
      <c r="F33" s="396"/>
      <c r="G33" s="396"/>
      <c r="H33" s="396"/>
      <c r="I33" s="397"/>
      <c r="J33" s="280"/>
      <c r="K33" s="288"/>
      <c r="L33" s="288"/>
      <c r="M33" s="305"/>
      <c r="N33" s="305"/>
      <c r="O33" s="303"/>
      <c r="P33" s="303"/>
      <c r="Q33" s="303"/>
      <c r="S33" s="321" t="s">
        <v>1226</v>
      </c>
      <c r="T33" s="321">
        <v>1209750</v>
      </c>
    </row>
    <row r="34" spans="1:20" x14ac:dyDescent="0.2">
      <c r="A34" s="392" t="s">
        <v>74</v>
      </c>
      <c r="B34" s="393"/>
      <c r="C34" s="394"/>
      <c r="D34" s="395"/>
      <c r="E34" s="396"/>
      <c r="F34" s="396"/>
      <c r="G34" s="396"/>
      <c r="H34" s="396"/>
      <c r="I34" s="397"/>
      <c r="J34" s="280"/>
      <c r="K34" s="288"/>
      <c r="L34" s="288"/>
      <c r="M34" s="114" t="s">
        <v>75</v>
      </c>
      <c r="N34" s="114"/>
      <c r="O34" s="284"/>
      <c r="P34" s="284"/>
      <c r="Q34" s="284"/>
      <c r="S34" s="321" t="s">
        <v>1227</v>
      </c>
      <c r="T34" s="321">
        <v>1209750</v>
      </c>
    </row>
    <row r="35" spans="1:20" ht="15.75" customHeight="1" x14ac:dyDescent="0.2">
      <c r="A35" s="374" t="s">
        <v>76</v>
      </c>
      <c r="B35" s="375"/>
      <c r="C35" s="375"/>
      <c r="D35" s="375"/>
      <c r="E35" s="375"/>
      <c r="F35" s="375"/>
      <c r="G35" s="375"/>
      <c r="H35" s="375"/>
      <c r="I35" s="376"/>
      <c r="J35" s="280"/>
      <c r="K35" s="288"/>
      <c r="L35" s="288"/>
      <c r="M35" s="115" t="s">
        <v>77</v>
      </c>
      <c r="N35" s="114"/>
      <c r="O35" s="314">
        <f>IF((AND(H7="Purchase",I12&gt;0)),I26/I12,0)</f>
        <v>0</v>
      </c>
      <c r="P35" s="284"/>
      <c r="Q35" s="284"/>
      <c r="S35" s="321" t="s">
        <v>1228</v>
      </c>
      <c r="T35" s="321">
        <v>1209750</v>
      </c>
    </row>
    <row r="36" spans="1:20" ht="15.75" customHeight="1" x14ac:dyDescent="0.25">
      <c r="A36" s="379" t="s">
        <v>78</v>
      </c>
      <c r="B36" s="380"/>
      <c r="C36" s="380"/>
      <c r="D36" s="380"/>
      <c r="E36" s="380"/>
      <c r="F36" s="380"/>
      <c r="G36" s="380"/>
      <c r="H36" s="380"/>
      <c r="I36" s="381"/>
      <c r="J36" s="281"/>
      <c r="K36" s="289"/>
      <c r="L36" s="289"/>
      <c r="M36" s="315" t="s">
        <v>79</v>
      </c>
      <c r="N36" s="316"/>
      <c r="O36" s="317">
        <f>IF(AND(I11&lt;&gt;"", I11&gt;0),(I9+I27-I28)/I11,0)</f>
        <v>0</v>
      </c>
      <c r="P36" s="284"/>
      <c r="Q36" s="284"/>
      <c r="S36" s="321" t="s">
        <v>1229</v>
      </c>
      <c r="T36" s="321">
        <v>1209750</v>
      </c>
    </row>
    <row r="37" spans="1:20" ht="22.5" x14ac:dyDescent="0.25">
      <c r="A37" s="379"/>
      <c r="B37" s="380"/>
      <c r="C37" s="380"/>
      <c r="D37" s="380"/>
      <c r="E37" s="380"/>
      <c r="F37" s="380"/>
      <c r="G37" s="380"/>
      <c r="H37" s="380"/>
      <c r="I37" s="381"/>
      <c r="J37" s="281"/>
      <c r="K37" s="289"/>
      <c r="L37" s="289"/>
      <c r="M37" s="318" t="s">
        <v>80</v>
      </c>
      <c r="N37" s="318"/>
      <c r="O37" s="319">
        <f>TRUNC(MIN(I10,I11))</f>
        <v>0</v>
      </c>
      <c r="P37" s="284"/>
      <c r="Q37" s="284"/>
      <c r="S37" s="321" t="s">
        <v>1230</v>
      </c>
      <c r="T37" s="321">
        <v>1209750</v>
      </c>
    </row>
    <row r="38" spans="1:20" x14ac:dyDescent="0.2">
      <c r="A38" s="110" t="s">
        <v>81</v>
      </c>
      <c r="J38" s="273"/>
      <c r="K38" s="273"/>
      <c r="L38" s="273"/>
      <c r="M38" s="318"/>
      <c r="N38" s="318"/>
      <c r="O38" s="284">
        <f>IF(AND(H7="Refinance",N11&lt;0.9001),I12-I24+I21,IF(AND(H7="Refinance",N11&gt;=0.9001),0,0))</f>
        <v>0</v>
      </c>
      <c r="P38" s="284"/>
      <c r="Q38" s="284"/>
      <c r="S38" s="321" t="s">
        <v>1231</v>
      </c>
      <c r="T38" s="321">
        <v>1209750</v>
      </c>
    </row>
    <row r="39" spans="1:20" x14ac:dyDescent="0.2">
      <c r="A39" s="110" t="s">
        <v>82</v>
      </c>
      <c r="J39" s="273"/>
      <c r="K39" s="273"/>
      <c r="L39" s="273"/>
      <c r="M39" s="318"/>
      <c r="N39" s="318"/>
      <c r="O39" s="284"/>
      <c r="P39" s="284"/>
      <c r="Q39" s="284"/>
      <c r="S39" s="321" t="s">
        <v>1232</v>
      </c>
      <c r="T39" s="321">
        <v>970600</v>
      </c>
    </row>
    <row r="40" spans="1:20" x14ac:dyDescent="0.2">
      <c r="J40" s="273"/>
      <c r="K40" s="273"/>
      <c r="L40" s="273"/>
      <c r="M40" s="318"/>
      <c r="N40" s="318"/>
      <c r="O40" s="284"/>
      <c r="P40" s="284"/>
      <c r="Q40" s="284"/>
      <c r="S40" s="321" t="s">
        <v>1233</v>
      </c>
      <c r="T40" s="321">
        <v>1017750</v>
      </c>
    </row>
    <row r="41" spans="1:20" x14ac:dyDescent="0.2">
      <c r="J41" s="273"/>
      <c r="K41" s="273"/>
      <c r="L41" s="273"/>
      <c r="M41" s="318"/>
      <c r="N41" s="318"/>
      <c r="O41" s="284"/>
      <c r="P41" s="284"/>
      <c r="Q41" s="284"/>
      <c r="S41" s="321" t="s">
        <v>1234</v>
      </c>
      <c r="T41" s="321">
        <v>1209750</v>
      </c>
    </row>
    <row r="42" spans="1:20" x14ac:dyDescent="0.2">
      <c r="J42" s="273"/>
      <c r="K42" s="273"/>
      <c r="L42" s="273"/>
      <c r="M42" s="318"/>
      <c r="N42" s="318"/>
      <c r="O42" s="284"/>
      <c r="P42" s="284"/>
      <c r="Q42" s="284"/>
      <c r="S42" s="321" t="s">
        <v>1235</v>
      </c>
      <c r="T42" s="321">
        <v>1209750</v>
      </c>
    </row>
    <row r="43" spans="1:20" x14ac:dyDescent="0.2">
      <c r="J43" s="273"/>
      <c r="K43" s="273"/>
      <c r="L43" s="273"/>
      <c r="M43" s="306"/>
      <c r="N43" s="306"/>
      <c r="O43" s="303"/>
      <c r="P43" s="303"/>
      <c r="Q43" s="303"/>
      <c r="S43" s="321" t="s">
        <v>1236</v>
      </c>
      <c r="T43" s="321">
        <v>1077550</v>
      </c>
    </row>
    <row r="44" spans="1:20" x14ac:dyDescent="0.2">
      <c r="J44" s="273"/>
      <c r="K44" s="273"/>
      <c r="L44" s="273"/>
      <c r="M44" s="306"/>
      <c r="N44" s="306"/>
      <c r="O44" s="303"/>
      <c r="P44" s="303"/>
      <c r="Q44" s="303"/>
      <c r="S44" s="321" t="s">
        <v>1237</v>
      </c>
      <c r="T44" s="321">
        <v>1209750</v>
      </c>
    </row>
    <row r="45" spans="1:20" x14ac:dyDescent="0.2">
      <c r="J45" s="273"/>
      <c r="K45" s="273"/>
      <c r="L45" s="273"/>
      <c r="M45" s="303"/>
      <c r="N45" s="303"/>
      <c r="O45" s="303"/>
      <c r="P45" s="303"/>
      <c r="Q45" s="303"/>
      <c r="S45" s="321" t="s">
        <v>1238</v>
      </c>
      <c r="T45" s="321">
        <v>967150</v>
      </c>
    </row>
    <row r="46" spans="1:20" x14ac:dyDescent="0.2">
      <c r="J46" s="273"/>
      <c r="K46" s="273"/>
      <c r="L46" s="273"/>
      <c r="M46" s="303"/>
      <c r="N46" s="303"/>
      <c r="O46" s="303"/>
      <c r="P46" s="303"/>
      <c r="Q46" s="303"/>
      <c r="S46" s="321" t="s">
        <v>1239</v>
      </c>
      <c r="T46" s="321">
        <v>1209750</v>
      </c>
    </row>
    <row r="47" spans="1:20" x14ac:dyDescent="0.2">
      <c r="J47" s="273"/>
      <c r="K47" s="273"/>
      <c r="L47" s="273"/>
      <c r="M47" s="303"/>
      <c r="N47" s="303"/>
      <c r="O47" s="303"/>
      <c r="P47" s="303"/>
      <c r="Q47" s="303"/>
      <c r="S47" s="321" t="s">
        <v>1240</v>
      </c>
      <c r="T47" s="321">
        <v>913100</v>
      </c>
    </row>
    <row r="48" spans="1:20" x14ac:dyDescent="0.2">
      <c r="J48" s="273"/>
      <c r="K48" s="273"/>
      <c r="L48" s="273"/>
      <c r="M48" s="303"/>
      <c r="N48" s="303"/>
      <c r="O48" s="303"/>
      <c r="P48" s="303"/>
      <c r="Q48" s="303"/>
      <c r="S48" s="321" t="s">
        <v>1241</v>
      </c>
      <c r="T48" s="321">
        <v>1209750</v>
      </c>
    </row>
    <row r="49" spans="10:20" x14ac:dyDescent="0.2">
      <c r="J49" s="273"/>
      <c r="K49" s="273"/>
      <c r="L49" s="273"/>
      <c r="M49" s="303"/>
      <c r="N49" s="303"/>
      <c r="O49" s="303"/>
      <c r="P49" s="303"/>
      <c r="Q49" s="303"/>
      <c r="S49" s="321" t="s">
        <v>1242</v>
      </c>
      <c r="T49" s="321">
        <v>1178750</v>
      </c>
    </row>
    <row r="50" spans="10:20" x14ac:dyDescent="0.2">
      <c r="J50" s="273"/>
      <c r="K50" s="273"/>
      <c r="L50" s="273"/>
      <c r="M50" s="303"/>
      <c r="N50" s="303"/>
      <c r="O50" s="303"/>
      <c r="P50" s="303"/>
      <c r="Q50" s="303"/>
      <c r="S50" s="321" t="s">
        <v>1243</v>
      </c>
      <c r="T50" s="321">
        <v>897000</v>
      </c>
    </row>
    <row r="51" spans="10:20" x14ac:dyDescent="0.2">
      <c r="J51" s="273"/>
      <c r="K51" s="273"/>
      <c r="L51" s="273"/>
      <c r="M51" s="303"/>
      <c r="N51" s="303"/>
      <c r="O51" s="303"/>
      <c r="P51" s="303"/>
      <c r="Q51" s="303"/>
      <c r="S51" s="321" t="s">
        <v>1244</v>
      </c>
      <c r="T51" s="321">
        <v>1017750</v>
      </c>
    </row>
    <row r="52" spans="10:20" x14ac:dyDescent="0.2">
      <c r="J52" s="273"/>
      <c r="K52" s="273"/>
      <c r="L52" s="273"/>
      <c r="M52" s="303"/>
      <c r="N52" s="303"/>
      <c r="O52" s="303"/>
      <c r="P52" s="303"/>
      <c r="Q52" s="303"/>
      <c r="S52" s="321" t="s">
        <v>1245</v>
      </c>
      <c r="T52" s="321">
        <v>833750</v>
      </c>
    </row>
    <row r="53" spans="10:20" x14ac:dyDescent="0.2">
      <c r="J53" s="273"/>
      <c r="K53" s="273"/>
      <c r="L53" s="273"/>
      <c r="M53" s="303"/>
      <c r="N53" s="303"/>
      <c r="O53" s="303"/>
      <c r="P53" s="303"/>
      <c r="Q53" s="303"/>
      <c r="S53" s="321" t="s">
        <v>1246</v>
      </c>
      <c r="T53" s="321">
        <v>833750</v>
      </c>
    </row>
    <row r="54" spans="10:20" x14ac:dyDescent="0.2">
      <c r="M54" s="303"/>
      <c r="N54" s="303"/>
      <c r="O54" s="303"/>
      <c r="P54" s="303"/>
      <c r="Q54" s="303"/>
      <c r="S54" s="321" t="s">
        <v>1247</v>
      </c>
      <c r="T54" s="321">
        <v>862500</v>
      </c>
    </row>
    <row r="55" spans="10:20" x14ac:dyDescent="0.2">
      <c r="M55" s="303"/>
      <c r="N55" s="303"/>
      <c r="O55" s="303"/>
      <c r="P55" s="303"/>
      <c r="Q55" s="303"/>
      <c r="S55" s="321" t="s">
        <v>1248</v>
      </c>
      <c r="T55" s="321">
        <v>833750</v>
      </c>
    </row>
    <row r="56" spans="10:20" x14ac:dyDescent="0.2">
      <c r="M56" s="303"/>
      <c r="N56" s="303"/>
      <c r="O56" s="303"/>
      <c r="P56" s="303"/>
      <c r="Q56" s="303"/>
      <c r="S56" s="321" t="s">
        <v>1249</v>
      </c>
      <c r="T56" s="321">
        <v>833750</v>
      </c>
    </row>
    <row r="57" spans="10:20" x14ac:dyDescent="0.2">
      <c r="M57" s="303"/>
      <c r="N57" s="303"/>
      <c r="O57" s="303"/>
      <c r="P57" s="303"/>
      <c r="Q57" s="303"/>
      <c r="S57" s="321" t="s">
        <v>1250</v>
      </c>
      <c r="T57" s="321">
        <v>833750</v>
      </c>
    </row>
    <row r="58" spans="10:20" x14ac:dyDescent="0.2">
      <c r="M58" s="303"/>
      <c r="N58" s="303"/>
      <c r="O58" s="303"/>
      <c r="P58" s="303"/>
      <c r="Q58" s="303"/>
      <c r="S58" s="321" t="s">
        <v>1251</v>
      </c>
      <c r="T58" s="321">
        <v>833750</v>
      </c>
    </row>
    <row r="59" spans="10:20" x14ac:dyDescent="0.2">
      <c r="M59" s="303"/>
      <c r="N59" s="303"/>
      <c r="O59" s="303"/>
      <c r="P59" s="303"/>
      <c r="Q59" s="303"/>
      <c r="S59" s="321" t="s">
        <v>1252</v>
      </c>
      <c r="T59" s="321">
        <v>1209750</v>
      </c>
    </row>
    <row r="60" spans="10:20" x14ac:dyDescent="0.2">
      <c r="M60" s="303"/>
      <c r="N60" s="303"/>
      <c r="O60" s="303"/>
      <c r="P60" s="303"/>
      <c r="Q60" s="303"/>
      <c r="S60" s="321" t="s">
        <v>1253</v>
      </c>
      <c r="T60" s="321">
        <v>833750</v>
      </c>
    </row>
    <row r="61" spans="10:20" x14ac:dyDescent="0.2">
      <c r="M61" s="284"/>
      <c r="N61" s="284"/>
      <c r="O61" s="284"/>
      <c r="P61" s="284"/>
      <c r="Q61" s="284"/>
      <c r="S61" s="321" t="s">
        <v>1254</v>
      </c>
      <c r="T61" s="321">
        <v>1209750</v>
      </c>
    </row>
    <row r="62" spans="10:20" x14ac:dyDescent="0.2">
      <c r="M62" s="284"/>
      <c r="N62" s="284"/>
      <c r="O62" s="284"/>
      <c r="P62" s="284"/>
      <c r="Q62" s="284"/>
      <c r="S62" s="321" t="s">
        <v>1255</v>
      </c>
      <c r="T62" s="321">
        <v>833750</v>
      </c>
    </row>
    <row r="63" spans="10:20" x14ac:dyDescent="0.2">
      <c r="M63" s="284"/>
      <c r="N63" s="284"/>
      <c r="O63" s="284"/>
      <c r="P63" s="284"/>
      <c r="Q63" s="284"/>
      <c r="S63" s="321" t="s">
        <v>1256</v>
      </c>
      <c r="T63" s="321">
        <v>874000</v>
      </c>
    </row>
    <row r="64" spans="10:20" x14ac:dyDescent="0.2">
      <c r="M64" s="284"/>
      <c r="N64" s="284"/>
      <c r="O64" s="284"/>
      <c r="P64" s="284"/>
      <c r="Q64" s="284"/>
      <c r="S64" s="321" t="s">
        <v>1257</v>
      </c>
      <c r="T64" s="321">
        <v>833750</v>
      </c>
    </row>
    <row r="65" spans="13:20" x14ac:dyDescent="0.2">
      <c r="M65" s="284"/>
      <c r="N65" s="284"/>
      <c r="O65" s="284"/>
      <c r="P65" s="284"/>
      <c r="Q65" s="284"/>
      <c r="S65" s="321" t="s">
        <v>1258</v>
      </c>
      <c r="T65" s="321">
        <v>833750</v>
      </c>
    </row>
    <row r="66" spans="13:20" x14ac:dyDescent="0.2">
      <c r="M66" s="284"/>
      <c r="N66" s="284"/>
      <c r="O66" s="284"/>
      <c r="P66" s="284"/>
      <c r="Q66" s="284"/>
      <c r="S66" s="321" t="s">
        <v>1259</v>
      </c>
      <c r="T66" s="321">
        <v>1209750</v>
      </c>
    </row>
    <row r="67" spans="13:20" x14ac:dyDescent="0.2">
      <c r="M67" s="284"/>
      <c r="N67" s="284"/>
      <c r="O67" s="284"/>
      <c r="P67" s="284"/>
      <c r="Q67" s="284"/>
      <c r="S67" s="321" t="s">
        <v>1260</v>
      </c>
      <c r="T67" s="321">
        <v>1012000</v>
      </c>
    </row>
    <row r="68" spans="13:20" x14ac:dyDescent="0.2">
      <c r="M68" s="284"/>
      <c r="N68" s="284"/>
      <c r="O68" s="284"/>
      <c r="P68" s="284"/>
      <c r="Q68" s="284"/>
      <c r="S68" s="321" t="s">
        <v>1261</v>
      </c>
      <c r="T68" s="321">
        <v>994750</v>
      </c>
    </row>
    <row r="69" spans="13:20" x14ac:dyDescent="0.2">
      <c r="M69" s="284"/>
      <c r="N69" s="284"/>
      <c r="O69" s="284"/>
      <c r="P69" s="284"/>
      <c r="Q69" s="284"/>
      <c r="S69" s="321" t="s">
        <v>1262</v>
      </c>
      <c r="T69" s="321">
        <v>1067200</v>
      </c>
    </row>
    <row r="70" spans="13:20" x14ac:dyDescent="0.2">
      <c r="M70" s="284"/>
      <c r="N70" s="284"/>
      <c r="O70" s="284"/>
      <c r="P70" s="284"/>
      <c r="Q70" s="284"/>
      <c r="S70" s="321" t="s">
        <v>1263</v>
      </c>
      <c r="T70" s="321">
        <v>851000</v>
      </c>
    </row>
    <row r="71" spans="13:20" x14ac:dyDescent="0.2">
      <c r="M71" s="284"/>
      <c r="N71" s="284"/>
      <c r="O71" s="284"/>
      <c r="P71" s="284"/>
      <c r="Q71" s="284"/>
      <c r="S71" s="321" t="s">
        <v>1264</v>
      </c>
      <c r="T71" s="321">
        <v>1209750</v>
      </c>
    </row>
    <row r="72" spans="13:20" x14ac:dyDescent="0.2">
      <c r="M72" s="284"/>
      <c r="N72" s="284"/>
      <c r="O72" s="284"/>
      <c r="P72" s="284"/>
      <c r="Q72" s="284"/>
      <c r="S72" s="321" t="s">
        <v>1265</v>
      </c>
      <c r="T72" s="321">
        <v>967150</v>
      </c>
    </row>
    <row r="73" spans="13:20" x14ac:dyDescent="0.2">
      <c r="M73" s="284"/>
      <c r="N73" s="284"/>
      <c r="O73" s="284"/>
      <c r="P73" s="284"/>
      <c r="Q73" s="284"/>
      <c r="S73" s="321" t="s">
        <v>1266</v>
      </c>
      <c r="T73" s="321">
        <v>1209750</v>
      </c>
    </row>
    <row r="74" spans="13:20" x14ac:dyDescent="0.2">
      <c r="M74" s="284"/>
      <c r="N74" s="284"/>
      <c r="O74" s="284"/>
      <c r="P74" s="284"/>
      <c r="Q74" s="284"/>
      <c r="S74" s="321" t="s">
        <v>1267</v>
      </c>
      <c r="T74" s="321">
        <v>1209750</v>
      </c>
    </row>
    <row r="75" spans="13:20" x14ac:dyDescent="0.2">
      <c r="M75" s="284"/>
      <c r="N75" s="284"/>
      <c r="O75" s="284"/>
      <c r="P75" s="284"/>
      <c r="Q75" s="284"/>
      <c r="S75" s="321" t="s">
        <v>1268</v>
      </c>
      <c r="T75" s="321">
        <v>1209750</v>
      </c>
    </row>
    <row r="76" spans="13:20" x14ac:dyDescent="0.2">
      <c r="M76" s="284"/>
      <c r="N76" s="284"/>
      <c r="O76" s="284"/>
      <c r="P76" s="284"/>
      <c r="Q76" s="284"/>
      <c r="S76" s="321" t="s">
        <v>1269</v>
      </c>
      <c r="T76" s="321">
        <v>1209750</v>
      </c>
    </row>
    <row r="77" spans="13:20" x14ac:dyDescent="0.2">
      <c r="M77" s="284"/>
      <c r="N77" s="284"/>
      <c r="O77" s="284"/>
      <c r="P77" s="284"/>
      <c r="Q77" s="284"/>
      <c r="S77" s="321" t="s">
        <v>1270</v>
      </c>
      <c r="T77" s="321">
        <v>1209750</v>
      </c>
    </row>
    <row r="78" spans="13:20" x14ac:dyDescent="0.2">
      <c r="M78" s="284"/>
      <c r="N78" s="284"/>
      <c r="O78" s="284"/>
      <c r="P78" s="284"/>
      <c r="Q78" s="284"/>
      <c r="S78" s="321" t="s">
        <v>1271</v>
      </c>
      <c r="T78" s="321">
        <v>1209750</v>
      </c>
    </row>
    <row r="79" spans="13:20" x14ac:dyDescent="0.2">
      <c r="M79" s="284"/>
      <c r="N79" s="284"/>
      <c r="O79" s="284"/>
      <c r="P79" s="284"/>
      <c r="Q79" s="284"/>
      <c r="S79" s="321" t="s">
        <v>1272</v>
      </c>
      <c r="T79" s="321">
        <v>1209750</v>
      </c>
    </row>
    <row r="80" spans="13:20" x14ac:dyDescent="0.2">
      <c r="M80" s="284"/>
      <c r="N80" s="284"/>
      <c r="O80" s="284"/>
      <c r="P80" s="284"/>
      <c r="Q80" s="284"/>
      <c r="S80" s="321" t="s">
        <v>1273</v>
      </c>
      <c r="T80" s="321">
        <v>1209750</v>
      </c>
    </row>
    <row r="81" spans="13:20" x14ac:dyDescent="0.2">
      <c r="M81" s="284"/>
      <c r="N81" s="284"/>
      <c r="O81" s="284"/>
      <c r="P81" s="284"/>
      <c r="Q81" s="284"/>
      <c r="S81" s="321" t="s">
        <v>1274</v>
      </c>
      <c r="T81" s="321">
        <v>1209750</v>
      </c>
    </row>
    <row r="82" spans="13:20" x14ac:dyDescent="0.2">
      <c r="M82" s="284"/>
      <c r="N82" s="284"/>
      <c r="O82" s="284"/>
      <c r="P82" s="284"/>
      <c r="Q82" s="284"/>
      <c r="S82" s="321" t="s">
        <v>1275</v>
      </c>
      <c r="T82" s="321">
        <v>1209750</v>
      </c>
    </row>
    <row r="83" spans="13:20" x14ac:dyDescent="0.2">
      <c r="M83" s="284"/>
      <c r="N83" s="284"/>
      <c r="O83" s="284"/>
      <c r="P83" s="284"/>
      <c r="Q83" s="284"/>
      <c r="S83" s="321" t="s">
        <v>1276</v>
      </c>
      <c r="T83" s="321">
        <v>1209750</v>
      </c>
    </row>
    <row r="84" spans="13:20" x14ac:dyDescent="0.2">
      <c r="M84" s="284"/>
      <c r="N84" s="284"/>
      <c r="O84" s="284"/>
      <c r="P84" s="284"/>
      <c r="Q84" s="284"/>
      <c r="S84" s="321" t="s">
        <v>1277</v>
      </c>
      <c r="T84" s="321">
        <v>1209750</v>
      </c>
    </row>
    <row r="85" spans="13:20" x14ac:dyDescent="0.2">
      <c r="M85" s="284"/>
      <c r="N85" s="284"/>
      <c r="O85" s="284"/>
      <c r="P85" s="284"/>
      <c r="Q85" s="284"/>
      <c r="S85" s="321" t="s">
        <v>1278</v>
      </c>
      <c r="T85" s="321">
        <v>914250</v>
      </c>
    </row>
    <row r="86" spans="13:20" x14ac:dyDescent="0.2">
      <c r="M86" s="284"/>
      <c r="N86" s="284"/>
      <c r="O86" s="284"/>
      <c r="P86" s="284"/>
      <c r="Q86" s="284"/>
      <c r="S86" s="321" t="s">
        <v>1279</v>
      </c>
      <c r="T86" s="321">
        <v>914250</v>
      </c>
    </row>
    <row r="87" spans="13:20" x14ac:dyDescent="0.2">
      <c r="M87" s="284"/>
      <c r="N87" s="284"/>
      <c r="O87" s="284"/>
      <c r="P87" s="284"/>
      <c r="Q87" s="284"/>
      <c r="S87" s="321" t="s">
        <v>1280</v>
      </c>
      <c r="T87" s="321">
        <v>1209750</v>
      </c>
    </row>
    <row r="88" spans="13:20" x14ac:dyDescent="0.2">
      <c r="M88" s="284"/>
      <c r="N88" s="284"/>
      <c r="O88" s="284"/>
      <c r="P88" s="284"/>
      <c r="Q88" s="284"/>
      <c r="S88" s="321" t="s">
        <v>1281</v>
      </c>
      <c r="T88" s="321">
        <v>914250</v>
      </c>
    </row>
    <row r="89" spans="13:20" x14ac:dyDescent="0.2">
      <c r="M89" s="284"/>
      <c r="N89" s="284"/>
      <c r="O89" s="284"/>
      <c r="P89" s="284"/>
      <c r="Q89" s="284"/>
      <c r="S89" s="321" t="s">
        <v>1282</v>
      </c>
      <c r="T89" s="321">
        <v>914250</v>
      </c>
    </row>
    <row r="90" spans="13:20" x14ac:dyDescent="0.2">
      <c r="M90" s="284"/>
      <c r="N90" s="284"/>
      <c r="O90" s="284"/>
      <c r="P90" s="284"/>
      <c r="Q90" s="284"/>
      <c r="S90" s="321" t="s">
        <v>1283</v>
      </c>
      <c r="T90" s="321">
        <v>914250</v>
      </c>
    </row>
    <row r="91" spans="13:20" x14ac:dyDescent="0.2">
      <c r="M91" s="284"/>
      <c r="N91" s="284"/>
      <c r="O91" s="284"/>
      <c r="P91" s="284"/>
      <c r="Q91" s="284"/>
      <c r="S91" s="321" t="s">
        <v>1284</v>
      </c>
      <c r="T91" s="321">
        <v>914250</v>
      </c>
    </row>
    <row r="92" spans="13:20" x14ac:dyDescent="0.2">
      <c r="M92" s="284"/>
      <c r="N92" s="284"/>
      <c r="O92" s="284"/>
      <c r="P92" s="284"/>
      <c r="Q92" s="284"/>
      <c r="S92" s="321" t="s">
        <v>1285</v>
      </c>
      <c r="T92" s="321">
        <v>914250</v>
      </c>
    </row>
    <row r="93" spans="13:20" x14ac:dyDescent="0.2">
      <c r="M93" s="284"/>
      <c r="N93" s="284"/>
      <c r="O93" s="284"/>
      <c r="P93" s="284"/>
      <c r="Q93" s="284"/>
      <c r="S93" s="321" t="s">
        <v>1286</v>
      </c>
      <c r="T93" s="321">
        <v>1209750</v>
      </c>
    </row>
    <row r="94" spans="13:20" x14ac:dyDescent="0.2">
      <c r="M94" s="284"/>
      <c r="N94" s="284"/>
      <c r="O94" s="284"/>
      <c r="P94" s="284"/>
      <c r="Q94" s="284"/>
      <c r="S94" s="321" t="s">
        <v>1287</v>
      </c>
      <c r="T94" s="321">
        <v>1209750</v>
      </c>
    </row>
    <row r="95" spans="13:20" x14ac:dyDescent="0.2">
      <c r="M95" s="284"/>
      <c r="N95" s="284"/>
      <c r="O95" s="284"/>
      <c r="P95" s="284"/>
      <c r="Q95" s="284"/>
      <c r="S95" s="321" t="s">
        <v>1288</v>
      </c>
      <c r="T95" s="321">
        <v>1209750</v>
      </c>
    </row>
    <row r="96" spans="13:20" x14ac:dyDescent="0.2">
      <c r="M96" s="284"/>
      <c r="N96" s="284"/>
      <c r="O96" s="284"/>
      <c r="P96" s="284"/>
      <c r="Q96" s="284"/>
      <c r="S96" s="321" t="s">
        <v>1289</v>
      </c>
      <c r="T96" s="321">
        <v>1209750</v>
      </c>
    </row>
    <row r="97" spans="13:20" x14ac:dyDescent="0.2">
      <c r="M97" s="284"/>
      <c r="N97" s="284"/>
      <c r="O97" s="284"/>
      <c r="P97" s="284"/>
      <c r="Q97" s="284"/>
      <c r="S97" s="321" t="s">
        <v>1290</v>
      </c>
      <c r="T97" s="321">
        <v>1209750</v>
      </c>
    </row>
    <row r="98" spans="13:20" x14ac:dyDescent="0.2">
      <c r="M98" s="284"/>
      <c r="N98" s="284"/>
      <c r="O98" s="284"/>
      <c r="P98" s="284"/>
      <c r="Q98" s="284"/>
      <c r="S98" s="321" t="s">
        <v>1291</v>
      </c>
      <c r="T98" s="321">
        <v>1209750</v>
      </c>
    </row>
    <row r="99" spans="13:20" x14ac:dyDescent="0.2">
      <c r="M99" s="284"/>
      <c r="N99" s="284"/>
      <c r="O99" s="284"/>
      <c r="P99" s="284"/>
      <c r="Q99" s="284"/>
      <c r="S99" s="321" t="s">
        <v>1292</v>
      </c>
      <c r="T99" s="321">
        <v>1209750</v>
      </c>
    </row>
    <row r="100" spans="13:20" x14ac:dyDescent="0.2">
      <c r="M100" s="284"/>
      <c r="N100" s="284"/>
      <c r="O100" s="284"/>
      <c r="P100" s="284"/>
      <c r="Q100" s="284"/>
      <c r="S100" s="321" t="s">
        <v>1293</v>
      </c>
      <c r="T100" s="321">
        <v>1209750</v>
      </c>
    </row>
    <row r="101" spans="13:20" x14ac:dyDescent="0.2">
      <c r="M101" s="284"/>
      <c r="N101" s="284"/>
      <c r="O101" s="284"/>
      <c r="P101" s="284"/>
      <c r="Q101" s="284"/>
      <c r="S101" s="321" t="s">
        <v>1294</v>
      </c>
      <c r="T101" s="321">
        <v>1209750</v>
      </c>
    </row>
    <row r="102" spans="13:20" x14ac:dyDescent="0.2">
      <c r="M102" s="284"/>
      <c r="N102" s="284"/>
      <c r="O102" s="284"/>
      <c r="P102" s="284"/>
      <c r="Q102" s="284"/>
      <c r="S102" s="321" t="s">
        <v>1295</v>
      </c>
      <c r="T102" s="321">
        <v>1209750</v>
      </c>
    </row>
    <row r="103" spans="13:20" x14ac:dyDescent="0.2">
      <c r="M103" s="284"/>
      <c r="N103" s="284"/>
      <c r="O103" s="284"/>
      <c r="P103" s="284"/>
      <c r="Q103" s="284"/>
      <c r="S103" s="321" t="s">
        <v>1296</v>
      </c>
      <c r="T103" s="321">
        <v>1209750</v>
      </c>
    </row>
    <row r="104" spans="13:20" x14ac:dyDescent="0.2">
      <c r="M104" s="284"/>
      <c r="N104" s="284"/>
      <c r="O104" s="284"/>
      <c r="P104" s="284"/>
      <c r="Q104" s="284"/>
      <c r="S104" s="321" t="s">
        <v>1297</v>
      </c>
      <c r="T104" s="321">
        <v>1209750</v>
      </c>
    </row>
    <row r="105" spans="13:20" x14ac:dyDescent="0.2">
      <c r="M105" s="284"/>
      <c r="N105" s="284"/>
      <c r="O105" s="284"/>
      <c r="P105" s="284"/>
      <c r="Q105" s="284"/>
      <c r="S105" s="321" t="s">
        <v>1298</v>
      </c>
      <c r="T105" s="321">
        <v>1209750</v>
      </c>
    </row>
    <row r="106" spans="13:20" x14ac:dyDescent="0.2">
      <c r="M106" s="284"/>
      <c r="N106" s="284"/>
      <c r="O106" s="284"/>
      <c r="P106" s="284"/>
      <c r="Q106" s="284"/>
      <c r="S106" s="321" t="s">
        <v>1299</v>
      </c>
      <c r="T106" s="321">
        <v>1209750</v>
      </c>
    </row>
    <row r="107" spans="13:20" x14ac:dyDescent="0.2">
      <c r="M107" s="284"/>
      <c r="N107" s="284"/>
      <c r="O107" s="284"/>
      <c r="P107" s="284"/>
      <c r="Q107" s="284"/>
      <c r="S107" s="321" t="s">
        <v>1300</v>
      </c>
      <c r="T107" s="321">
        <v>1209750</v>
      </c>
    </row>
    <row r="108" spans="13:20" x14ac:dyDescent="0.2">
      <c r="M108" s="284"/>
      <c r="N108" s="284"/>
      <c r="O108" s="284"/>
      <c r="P108" s="284"/>
      <c r="Q108" s="284"/>
      <c r="S108" s="321" t="s">
        <v>1301</v>
      </c>
      <c r="T108" s="321">
        <v>1209750</v>
      </c>
    </row>
    <row r="109" spans="13:20" x14ac:dyDescent="0.2">
      <c r="M109" s="284"/>
      <c r="N109" s="284"/>
      <c r="O109" s="284"/>
      <c r="P109" s="284"/>
      <c r="Q109" s="284"/>
      <c r="S109" s="321" t="s">
        <v>1302</v>
      </c>
      <c r="T109" s="321">
        <v>1209750</v>
      </c>
    </row>
    <row r="110" spans="13:20" x14ac:dyDescent="0.2">
      <c r="M110" s="284"/>
      <c r="N110" s="284"/>
      <c r="O110" s="284"/>
      <c r="P110" s="284"/>
      <c r="Q110" s="284"/>
      <c r="S110" s="321" t="s">
        <v>1303</v>
      </c>
      <c r="T110" s="321">
        <v>1209750</v>
      </c>
    </row>
    <row r="111" spans="13:20" x14ac:dyDescent="0.2">
      <c r="M111" s="284"/>
      <c r="N111" s="284"/>
      <c r="O111" s="284"/>
      <c r="P111" s="284"/>
      <c r="Q111" s="284"/>
      <c r="S111" s="321" t="s">
        <v>1304</v>
      </c>
      <c r="T111" s="321">
        <v>1209750</v>
      </c>
    </row>
    <row r="112" spans="13:20" x14ac:dyDescent="0.2">
      <c r="M112" s="284"/>
      <c r="N112" s="284"/>
      <c r="O112" s="284"/>
      <c r="P112" s="284"/>
      <c r="Q112" s="284"/>
      <c r="S112" s="321" t="s">
        <v>1305</v>
      </c>
      <c r="T112" s="321">
        <v>1209750</v>
      </c>
    </row>
    <row r="113" spans="13:20" x14ac:dyDescent="0.2">
      <c r="M113" s="284"/>
      <c r="N113" s="284"/>
      <c r="O113" s="284"/>
      <c r="P113" s="284"/>
      <c r="Q113" s="284"/>
      <c r="S113" s="321" t="s">
        <v>1306</v>
      </c>
      <c r="T113" s="321">
        <v>1209750</v>
      </c>
    </row>
    <row r="114" spans="13:20" x14ac:dyDescent="0.2">
      <c r="M114" s="284"/>
      <c r="N114" s="284"/>
      <c r="O114" s="284"/>
      <c r="P114" s="284"/>
      <c r="Q114" s="284"/>
      <c r="S114" s="321" t="s">
        <v>1307</v>
      </c>
      <c r="T114" s="321">
        <v>1209750</v>
      </c>
    </row>
    <row r="115" spans="13:20" x14ac:dyDescent="0.2">
      <c r="M115" s="284"/>
      <c r="N115" s="284"/>
      <c r="O115" s="284"/>
      <c r="P115" s="284"/>
      <c r="Q115" s="284"/>
      <c r="S115" s="321" t="s">
        <v>1308</v>
      </c>
      <c r="T115" s="321">
        <v>1209750</v>
      </c>
    </row>
    <row r="116" spans="13:20" x14ac:dyDescent="0.2">
      <c r="M116" s="284"/>
      <c r="N116" s="284"/>
      <c r="O116" s="284"/>
      <c r="P116" s="284"/>
      <c r="Q116" s="284"/>
      <c r="S116" s="321" t="s">
        <v>1309</v>
      </c>
      <c r="T116" s="321">
        <v>989000</v>
      </c>
    </row>
    <row r="117" spans="13:20" x14ac:dyDescent="0.2">
      <c r="M117" s="284"/>
      <c r="N117" s="284"/>
      <c r="O117" s="284"/>
      <c r="P117" s="284"/>
      <c r="Q117" s="284"/>
      <c r="S117" s="321" t="s">
        <v>1310</v>
      </c>
      <c r="T117" s="321">
        <v>989000</v>
      </c>
    </row>
    <row r="118" spans="13:20" x14ac:dyDescent="0.2">
      <c r="M118" s="284"/>
      <c r="N118" s="284"/>
      <c r="O118" s="284"/>
      <c r="P118" s="284"/>
      <c r="Q118" s="284"/>
      <c r="S118" s="321" t="s">
        <v>1311</v>
      </c>
      <c r="T118" s="321">
        <v>989000</v>
      </c>
    </row>
    <row r="119" spans="13:20" x14ac:dyDescent="0.2">
      <c r="M119" s="284"/>
      <c r="N119" s="284"/>
      <c r="O119" s="284"/>
      <c r="P119" s="284"/>
      <c r="Q119" s="284"/>
      <c r="S119" s="321" t="s">
        <v>1312</v>
      </c>
      <c r="T119" s="321">
        <v>989000</v>
      </c>
    </row>
    <row r="120" spans="13:20" x14ac:dyDescent="0.2">
      <c r="M120" s="284"/>
      <c r="N120" s="284"/>
      <c r="O120" s="284"/>
      <c r="P120" s="284"/>
      <c r="Q120" s="284"/>
      <c r="S120" s="321" t="s">
        <v>1313</v>
      </c>
      <c r="T120" s="321">
        <v>989000</v>
      </c>
    </row>
    <row r="121" spans="13:20" x14ac:dyDescent="0.2">
      <c r="M121" s="284"/>
      <c r="N121" s="284"/>
      <c r="O121" s="284"/>
      <c r="P121" s="284"/>
      <c r="Q121" s="284"/>
      <c r="S121" s="321" t="s">
        <v>1314</v>
      </c>
      <c r="T121" s="321">
        <v>989000</v>
      </c>
    </row>
    <row r="122" spans="13:20" x14ac:dyDescent="0.2">
      <c r="M122" s="284"/>
      <c r="N122" s="284"/>
      <c r="O122" s="284"/>
      <c r="P122" s="284"/>
      <c r="Q122" s="284"/>
      <c r="S122" s="321" t="s">
        <v>1315</v>
      </c>
      <c r="T122" s="321">
        <v>989000</v>
      </c>
    </row>
    <row r="123" spans="13:20" x14ac:dyDescent="0.2">
      <c r="M123" s="284"/>
      <c r="N123" s="284"/>
      <c r="O123" s="284"/>
      <c r="P123" s="284"/>
      <c r="Q123" s="284"/>
      <c r="S123" s="321" t="s">
        <v>1316</v>
      </c>
      <c r="T123" s="321">
        <v>989000</v>
      </c>
    </row>
    <row r="124" spans="13:20" x14ac:dyDescent="0.2">
      <c r="M124" s="284"/>
      <c r="N124" s="284"/>
      <c r="O124" s="284"/>
      <c r="P124" s="284"/>
      <c r="Q124" s="284"/>
      <c r="S124" s="321" t="s">
        <v>1317</v>
      </c>
      <c r="T124" s="321">
        <v>989000</v>
      </c>
    </row>
    <row r="125" spans="13:20" x14ac:dyDescent="0.2">
      <c r="M125" s="284"/>
      <c r="N125" s="284"/>
      <c r="O125" s="284"/>
      <c r="P125" s="284"/>
      <c r="Q125" s="284"/>
      <c r="S125" s="321" t="s">
        <v>1318</v>
      </c>
      <c r="T125" s="321">
        <v>989000</v>
      </c>
    </row>
    <row r="126" spans="13:20" x14ac:dyDescent="0.2">
      <c r="M126" s="284"/>
      <c r="N126" s="284"/>
      <c r="O126" s="284"/>
      <c r="P126" s="284"/>
      <c r="Q126" s="284"/>
      <c r="S126" s="321" t="s">
        <v>1319</v>
      </c>
      <c r="T126" s="321">
        <v>989000</v>
      </c>
    </row>
    <row r="127" spans="13:20" x14ac:dyDescent="0.2">
      <c r="M127" s="284"/>
      <c r="N127" s="284"/>
      <c r="O127" s="284"/>
      <c r="P127" s="284"/>
      <c r="Q127" s="284"/>
      <c r="S127" s="321" t="s">
        <v>1320</v>
      </c>
      <c r="T127" s="321">
        <v>989000</v>
      </c>
    </row>
    <row r="128" spans="13:20" x14ac:dyDescent="0.2">
      <c r="M128" s="284"/>
      <c r="N128" s="284"/>
      <c r="O128" s="284"/>
      <c r="P128" s="284"/>
      <c r="Q128" s="284"/>
      <c r="S128" s="321" t="s">
        <v>1321</v>
      </c>
      <c r="T128" s="321">
        <v>989000</v>
      </c>
    </row>
    <row r="129" spans="13:20" x14ac:dyDescent="0.2">
      <c r="M129" s="284"/>
      <c r="N129" s="284"/>
      <c r="O129" s="284"/>
      <c r="P129" s="284"/>
      <c r="Q129" s="284"/>
      <c r="S129" s="321" t="s">
        <v>1322</v>
      </c>
      <c r="T129" s="321">
        <v>1149825</v>
      </c>
    </row>
    <row r="130" spans="13:20" x14ac:dyDescent="0.2">
      <c r="M130" s="284"/>
      <c r="N130" s="284"/>
      <c r="O130" s="284"/>
      <c r="P130" s="284"/>
      <c r="Q130" s="284"/>
      <c r="S130" s="321" t="s">
        <v>1323</v>
      </c>
      <c r="T130" s="321">
        <v>1149825</v>
      </c>
    </row>
    <row r="131" spans="13:20" x14ac:dyDescent="0.2">
      <c r="M131" s="284"/>
      <c r="N131" s="284"/>
      <c r="O131" s="284"/>
      <c r="P131" s="284"/>
      <c r="Q131" s="284"/>
      <c r="S131" s="321" t="s">
        <v>1324</v>
      </c>
      <c r="T131" s="321">
        <v>997050</v>
      </c>
    </row>
    <row r="132" spans="13:20" x14ac:dyDescent="0.2">
      <c r="M132" s="284"/>
      <c r="N132" s="284"/>
      <c r="O132" s="284"/>
      <c r="P132" s="284"/>
      <c r="Q132" s="284"/>
      <c r="S132" s="321" t="s">
        <v>1325</v>
      </c>
      <c r="T132" s="321">
        <v>1209750</v>
      </c>
    </row>
    <row r="133" spans="13:20" x14ac:dyDescent="0.2">
      <c r="M133" s="284"/>
      <c r="N133" s="284"/>
      <c r="O133" s="284"/>
      <c r="P133" s="284"/>
      <c r="Q133" s="284"/>
      <c r="S133" s="321" t="s">
        <v>1326</v>
      </c>
      <c r="T133" s="321">
        <v>1209750</v>
      </c>
    </row>
    <row r="134" spans="13:20" x14ac:dyDescent="0.2">
      <c r="M134" s="284"/>
      <c r="N134" s="284"/>
      <c r="O134" s="284"/>
      <c r="P134" s="284"/>
      <c r="Q134" s="284"/>
      <c r="S134" s="321" t="s">
        <v>1327</v>
      </c>
      <c r="T134" s="321">
        <v>1209750</v>
      </c>
    </row>
    <row r="135" spans="13:20" x14ac:dyDescent="0.2">
      <c r="M135" s="284"/>
      <c r="N135" s="284"/>
      <c r="O135" s="284"/>
      <c r="P135" s="284"/>
      <c r="Q135" s="284"/>
      <c r="S135" s="321" t="s">
        <v>1328</v>
      </c>
      <c r="T135" s="321">
        <v>1209750</v>
      </c>
    </row>
    <row r="136" spans="13:20" x14ac:dyDescent="0.2">
      <c r="M136" s="284"/>
      <c r="N136" s="284"/>
      <c r="O136" s="284"/>
      <c r="P136" s="284"/>
      <c r="Q136" s="284"/>
      <c r="S136" s="321" t="s">
        <v>1329</v>
      </c>
      <c r="T136" s="321">
        <v>1209750</v>
      </c>
    </row>
    <row r="137" spans="13:20" x14ac:dyDescent="0.2">
      <c r="M137" s="284"/>
      <c r="N137" s="284"/>
      <c r="O137" s="284"/>
      <c r="P137" s="284"/>
      <c r="Q137" s="284"/>
      <c r="S137" s="321" t="s">
        <v>1330</v>
      </c>
      <c r="T137" s="321">
        <v>1209750</v>
      </c>
    </row>
    <row r="138" spans="13:20" x14ac:dyDescent="0.2">
      <c r="M138" s="284"/>
      <c r="N138" s="284"/>
      <c r="O138" s="284"/>
      <c r="P138" s="284"/>
      <c r="Q138" s="284"/>
      <c r="S138" s="321" t="s">
        <v>1331</v>
      </c>
      <c r="T138" s="321">
        <v>1209750</v>
      </c>
    </row>
    <row r="139" spans="13:20" x14ac:dyDescent="0.2">
      <c r="M139" s="284"/>
      <c r="N139" s="284"/>
      <c r="O139" s="284"/>
      <c r="P139" s="284"/>
      <c r="Q139" s="284"/>
      <c r="S139" s="321" t="s">
        <v>1332</v>
      </c>
      <c r="T139" s="321">
        <v>1209750</v>
      </c>
    </row>
    <row r="140" spans="13:20" x14ac:dyDescent="0.2">
      <c r="M140" s="284"/>
      <c r="N140" s="284"/>
      <c r="O140" s="284"/>
      <c r="P140" s="284"/>
      <c r="Q140" s="284"/>
      <c r="S140" s="321" t="s">
        <v>1333</v>
      </c>
      <c r="T140" s="321">
        <v>1209750</v>
      </c>
    </row>
    <row r="141" spans="13:20" x14ac:dyDescent="0.2">
      <c r="M141" s="284"/>
      <c r="N141" s="284"/>
      <c r="O141" s="284"/>
      <c r="P141" s="284"/>
      <c r="Q141" s="284"/>
      <c r="S141" s="321" t="s">
        <v>1334</v>
      </c>
      <c r="T141" s="321">
        <v>1209750</v>
      </c>
    </row>
    <row r="142" spans="13:20" x14ac:dyDescent="0.2">
      <c r="M142" s="284"/>
      <c r="N142" s="284"/>
      <c r="O142" s="284"/>
      <c r="P142" s="284"/>
      <c r="Q142" s="284"/>
      <c r="S142" s="321" t="s">
        <v>1335</v>
      </c>
      <c r="T142" s="321">
        <v>1209750</v>
      </c>
    </row>
    <row r="143" spans="13:20" x14ac:dyDescent="0.2">
      <c r="M143" s="284"/>
      <c r="N143" s="284"/>
      <c r="O143" s="284"/>
      <c r="P143" s="284"/>
      <c r="Q143" s="284"/>
      <c r="S143" s="321" t="s">
        <v>1336</v>
      </c>
      <c r="T143" s="321">
        <v>1209750</v>
      </c>
    </row>
    <row r="144" spans="13:20" x14ac:dyDescent="0.2">
      <c r="M144" s="284"/>
      <c r="N144" s="284"/>
      <c r="O144" s="284"/>
      <c r="P144" s="284"/>
      <c r="Q144" s="284"/>
      <c r="S144" s="321" t="s">
        <v>1337</v>
      </c>
      <c r="T144" s="321">
        <v>1209750</v>
      </c>
    </row>
    <row r="145" spans="13:20" x14ac:dyDescent="0.2">
      <c r="M145" s="284"/>
      <c r="N145" s="284"/>
      <c r="O145" s="284"/>
      <c r="P145" s="284"/>
      <c r="Q145" s="284"/>
      <c r="S145" s="321" t="s">
        <v>1338</v>
      </c>
      <c r="T145" s="321">
        <v>1209750</v>
      </c>
    </row>
    <row r="146" spans="13:20" x14ac:dyDescent="0.2">
      <c r="M146" s="284"/>
      <c r="N146" s="284"/>
      <c r="O146" s="284"/>
      <c r="P146" s="284"/>
      <c r="Q146" s="284"/>
      <c r="S146" s="321" t="s">
        <v>1339</v>
      </c>
      <c r="T146" s="321">
        <v>1209750</v>
      </c>
    </row>
    <row r="147" spans="13:20" x14ac:dyDescent="0.2">
      <c r="M147" s="284"/>
      <c r="N147" s="284"/>
      <c r="O147" s="284"/>
      <c r="P147" s="284"/>
      <c r="Q147" s="284"/>
      <c r="S147" s="321" t="s">
        <v>1340</v>
      </c>
      <c r="T147" s="321">
        <v>1209750</v>
      </c>
    </row>
    <row r="148" spans="13:20" x14ac:dyDescent="0.2">
      <c r="M148" s="284"/>
      <c r="N148" s="284"/>
      <c r="O148" s="284"/>
      <c r="P148" s="284"/>
      <c r="Q148" s="284"/>
      <c r="S148" s="321" t="s">
        <v>1341</v>
      </c>
      <c r="T148" s="321">
        <v>1209750</v>
      </c>
    </row>
    <row r="149" spans="13:20" x14ac:dyDescent="0.2">
      <c r="M149" s="284"/>
      <c r="N149" s="284"/>
      <c r="O149" s="284"/>
      <c r="P149" s="284"/>
      <c r="Q149" s="284"/>
      <c r="S149" s="321" t="s">
        <v>1342</v>
      </c>
      <c r="T149" s="321">
        <v>1209750</v>
      </c>
    </row>
    <row r="150" spans="13:20" x14ac:dyDescent="0.2">
      <c r="M150" s="284"/>
      <c r="N150" s="284"/>
      <c r="O150" s="284"/>
      <c r="P150" s="284"/>
      <c r="Q150" s="284"/>
      <c r="S150" s="321" t="s">
        <v>1343</v>
      </c>
      <c r="T150" s="321">
        <v>1037300</v>
      </c>
    </row>
    <row r="151" spans="13:20" x14ac:dyDescent="0.2">
      <c r="M151" s="284"/>
      <c r="N151" s="284"/>
      <c r="O151" s="284"/>
      <c r="P151" s="284"/>
      <c r="Q151" s="284"/>
      <c r="S151" s="321" t="s">
        <v>1344</v>
      </c>
      <c r="T151" s="321">
        <v>1037300</v>
      </c>
    </row>
    <row r="152" spans="13:20" x14ac:dyDescent="0.2">
      <c r="M152" s="284"/>
      <c r="N152" s="284"/>
      <c r="O152" s="284"/>
      <c r="P152" s="284"/>
      <c r="Q152" s="284"/>
      <c r="S152" s="321" t="s">
        <v>1345</v>
      </c>
      <c r="T152" s="321">
        <v>1037300</v>
      </c>
    </row>
    <row r="153" spans="13:20" x14ac:dyDescent="0.2">
      <c r="M153" s="284"/>
      <c r="N153" s="284"/>
      <c r="O153" s="284"/>
      <c r="P153" s="284"/>
      <c r="Q153" s="284"/>
      <c r="S153" s="321" t="s">
        <v>1346</v>
      </c>
      <c r="T153" s="321">
        <v>1209750</v>
      </c>
    </row>
    <row r="154" spans="13:20" x14ac:dyDescent="0.2">
      <c r="M154" s="284"/>
      <c r="N154" s="284"/>
      <c r="O154" s="284"/>
      <c r="P154" s="284"/>
      <c r="Q154" s="284"/>
      <c r="S154" s="321" t="s">
        <v>1347</v>
      </c>
      <c r="T154" s="321">
        <v>1209750</v>
      </c>
    </row>
    <row r="155" spans="13:20" x14ac:dyDescent="0.2">
      <c r="M155" s="284"/>
      <c r="N155" s="284"/>
      <c r="O155" s="284"/>
      <c r="P155" s="284"/>
      <c r="Q155" s="284"/>
      <c r="S155" s="321" t="s">
        <v>1348</v>
      </c>
      <c r="T155" s="321">
        <v>1209750</v>
      </c>
    </row>
    <row r="156" spans="13:20" x14ac:dyDescent="0.2">
      <c r="M156" s="284"/>
      <c r="N156" s="284"/>
      <c r="O156" s="284"/>
      <c r="P156" s="284"/>
      <c r="Q156" s="284"/>
      <c r="S156" s="321" t="s">
        <v>1349</v>
      </c>
      <c r="T156" s="321">
        <v>1209750</v>
      </c>
    </row>
    <row r="157" spans="13:20" x14ac:dyDescent="0.2">
      <c r="M157" s="284"/>
      <c r="N157" s="284"/>
      <c r="O157" s="284"/>
      <c r="P157" s="284"/>
      <c r="Q157" s="284"/>
      <c r="S157" s="321" t="s">
        <v>1350</v>
      </c>
      <c r="T157" s="321">
        <v>1209750</v>
      </c>
    </row>
    <row r="158" spans="13:20" x14ac:dyDescent="0.2">
      <c r="M158" s="284"/>
      <c r="N158" s="284"/>
      <c r="O158" s="284"/>
      <c r="P158" s="284"/>
      <c r="Q158" s="284"/>
      <c r="S158" s="321" t="s">
        <v>1351</v>
      </c>
      <c r="T158" s="321">
        <v>1209750</v>
      </c>
    </row>
    <row r="159" spans="13:20" x14ac:dyDescent="0.2">
      <c r="M159" s="284"/>
      <c r="N159" s="284"/>
      <c r="O159" s="284"/>
      <c r="P159" s="284"/>
      <c r="Q159" s="284"/>
    </row>
    <row r="160" spans="13:20" x14ac:dyDescent="0.2">
      <c r="M160" s="284"/>
      <c r="N160" s="284"/>
      <c r="O160" s="284"/>
      <c r="P160" s="284"/>
      <c r="Q160" s="284"/>
    </row>
    <row r="161" spans="13:17" x14ac:dyDescent="0.2">
      <c r="M161" s="284"/>
      <c r="N161" s="284"/>
      <c r="O161" s="284"/>
      <c r="P161" s="284"/>
      <c r="Q161" s="284"/>
    </row>
    <row r="162" spans="13:17" x14ac:dyDescent="0.2">
      <c r="M162" s="284"/>
      <c r="N162" s="284"/>
      <c r="O162" s="284"/>
      <c r="P162" s="284"/>
      <c r="Q162" s="284"/>
    </row>
    <row r="163" spans="13:17" x14ac:dyDescent="0.2">
      <c r="M163" s="284"/>
      <c r="N163" s="284"/>
      <c r="O163" s="284"/>
      <c r="P163" s="284"/>
      <c r="Q163" s="284"/>
    </row>
  </sheetData>
  <sheetProtection algorithmName="SHA-512" hashValue="rEgcI1n/Fco6NaHmQ3xPLwp/a+EcHwsSOleq57Gz/4HmGZ5UiaJXCeuKSn0RSeO7Qb6tnpIzmAa70geqmktPYQ==" saltValue="HZvd3QVMq4md8E8AeQdoJg==" spinCount="100000" sheet="1" scenarios="1"/>
  <mergeCells count="49">
    <mergeCell ref="A35:I35"/>
    <mergeCell ref="M28:P29"/>
    <mergeCell ref="M30:P31"/>
    <mergeCell ref="A36:I37"/>
    <mergeCell ref="D17:H17"/>
    <mergeCell ref="K19:K22"/>
    <mergeCell ref="B26:D26"/>
    <mergeCell ref="E26:H26"/>
    <mergeCell ref="B27:C27"/>
    <mergeCell ref="D27:H27"/>
    <mergeCell ref="B30:G30"/>
    <mergeCell ref="A33:C33"/>
    <mergeCell ref="A34:C34"/>
    <mergeCell ref="D33:I33"/>
    <mergeCell ref="D34:I34"/>
    <mergeCell ref="K28:L29"/>
    <mergeCell ref="K30:L31"/>
    <mergeCell ref="B32:I32"/>
    <mergeCell ref="B31:F31"/>
    <mergeCell ref="F6:G6"/>
    <mergeCell ref="H6:I6"/>
    <mergeCell ref="E11:H11"/>
    <mergeCell ref="F12:H12"/>
    <mergeCell ref="B16:H16"/>
    <mergeCell ref="H7:I7"/>
    <mergeCell ref="F10:H10"/>
    <mergeCell ref="K9:P9"/>
    <mergeCell ref="J16:L16"/>
    <mergeCell ref="M26:P26"/>
    <mergeCell ref="M16:P16"/>
    <mergeCell ref="M17:O21"/>
    <mergeCell ref="M22:O23"/>
    <mergeCell ref="G1:I1"/>
    <mergeCell ref="A2:I2"/>
    <mergeCell ref="F3:I5"/>
    <mergeCell ref="B4:D4"/>
    <mergeCell ref="A5:E5"/>
    <mergeCell ref="P17:P21"/>
    <mergeCell ref="P22:P23"/>
    <mergeCell ref="M25:O25"/>
    <mergeCell ref="K1:Q1"/>
    <mergeCell ref="P3:P4"/>
    <mergeCell ref="Q3:Q4"/>
    <mergeCell ref="K5:Q5"/>
    <mergeCell ref="K6:O6"/>
    <mergeCell ref="Q6:Q7"/>
    <mergeCell ref="K7:O7"/>
    <mergeCell ref="K2:Q2"/>
    <mergeCell ref="K3:O4"/>
  </mergeCells>
  <conditionalFormatting sqref="I16">
    <cfRule type="expression" dxfId="46" priority="12" stopIfTrue="1">
      <formula>OR(AND(E4="Full Entitlement",I16&gt;0),AND(E4="Partial Entitlement",I16=0))</formula>
    </cfRule>
  </conditionalFormatting>
  <conditionalFormatting sqref="I31">
    <cfRule type="containsText" dxfId="45" priority="11" stopIfTrue="1" operator="containsText" text="Error, See Row H">
      <formula>NOT(ISERROR(SEARCH("Error, See Row H",I31)))</formula>
    </cfRule>
  </conditionalFormatting>
  <conditionalFormatting sqref="Q3:Q4">
    <cfRule type="containsText" dxfId="44" priority="9" stopIfTrue="1" operator="containsText" text="Ineligible">
      <formula>NOT(ISERROR(SEARCH("Ineligible",Q3)))</formula>
    </cfRule>
    <cfRule type="containsText" dxfId="43" priority="10" stopIfTrue="1" operator="containsText" text="Proceed to Date Calculator">
      <formula>NOT(ISERROR(SEARCH("Proceed to Date Calculator",Q3)))</formula>
    </cfRule>
  </conditionalFormatting>
  <conditionalFormatting sqref="Q6:Q7">
    <cfRule type="containsText" dxfId="42" priority="6" stopIfTrue="1" operator="containsText" text="INELIGIBLE">
      <formula>NOT(ISERROR(SEARCH("INELIGIBLE",Q6)))</formula>
    </cfRule>
    <cfRule type="containsText" dxfId="41" priority="7" stopIfTrue="1" operator="containsText" text="NOT ELIGIBLE">
      <formula>NOT(ISERROR(SEARCH("NOT ELIGIBLE",Q6)))</formula>
    </cfRule>
    <cfRule type="containsText" dxfId="40" priority="8" stopIfTrue="1" operator="containsText" text="ELIGIBLE">
      <formula>NOT(ISERROR(SEARCH("ELIGIBLE",Q6)))</formula>
    </cfRule>
  </conditionalFormatting>
  <dataValidations count="5">
    <dataValidation type="list" allowBlank="1" showInputMessage="1" showErrorMessage="1" sqref="E3" xr:uid="{00000000-0002-0000-0000-000000000000}">
      <formula1>$Q$12:$Q$19</formula1>
    </dataValidation>
    <dataValidation type="list" allowBlank="1" showInputMessage="1" showErrorMessage="1" sqref="E4" xr:uid="{00000000-0002-0000-0000-000001000000}">
      <formula1>"Select One, Full Entitlement, Partial Entitlement"</formula1>
    </dataValidation>
    <dataValidation type="list" allowBlank="1" showInputMessage="1" showErrorMessage="1" sqref="H7:I7" xr:uid="{00000000-0002-0000-0000-000002000000}">
      <formula1>"Select One, Purchase, Refinance"</formula1>
    </dataValidation>
    <dataValidation type="list" allowBlank="1" showInputMessage="1" showErrorMessage="1" sqref="P17:P25" xr:uid="{00000000-0002-0000-0000-000003000000}">
      <formula1>"Select One, Yes, No"</formula1>
    </dataValidation>
    <dataValidation type="list" allowBlank="1" showInputMessage="1" showErrorMessage="1" sqref="H6:I6" xr:uid="{00000000-0002-0000-0000-000004000000}">
      <formula1>$S$4:$S$158</formula1>
    </dataValidation>
  </dataValidations>
  <pageMargins left="0.25" right="0.25" top="0.75" bottom="0.75" header="0.3" footer="0.3"/>
  <pageSetup scale="81" orientation="portrait" horizontalDpi="1200" verticalDpi="1200" r:id="rId1"/>
  <ignoredErrors>
    <ignoredError sqref="N13"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03"/>
  <sheetViews>
    <sheetView showGridLines="0" zoomScale="111" workbookViewId="0">
      <selection activeCell="L11" sqref="L11:Q13"/>
    </sheetView>
  </sheetViews>
  <sheetFormatPr defaultColWidth="0" defaultRowHeight="15" zeroHeight="1" x14ac:dyDescent="0.25"/>
  <cols>
    <col min="1" max="1" width="2.7109375" style="123" customWidth="1"/>
    <col min="2" max="2" width="25.7109375" style="123" customWidth="1"/>
    <col min="3" max="3" width="12.7109375" style="123" customWidth="1"/>
    <col min="4" max="4" width="4" style="123" customWidth="1"/>
    <col min="5" max="5" width="25.7109375" style="123" customWidth="1"/>
    <col min="6" max="6" width="12.7109375" style="123" customWidth="1"/>
    <col min="7" max="8" width="3.7109375" style="123" customWidth="1"/>
    <col min="9" max="10" width="4.7109375" style="123" customWidth="1"/>
    <col min="11" max="11" width="2.28515625" style="123" customWidth="1"/>
    <col min="12" max="19" width="4.7109375" style="123" customWidth="1"/>
    <col min="20" max="20" width="6.7109375" style="123" customWidth="1"/>
    <col min="21" max="24" width="4.7109375" style="123" customWidth="1"/>
    <col min="25" max="25" width="7" style="123" customWidth="1"/>
    <col min="26" max="31" width="4.7109375" style="123" customWidth="1"/>
    <col min="32" max="32" width="2.28515625" style="123" customWidth="1"/>
    <col min="33" max="33" width="4.7109375" style="123" customWidth="1"/>
    <col min="34" max="16384" width="9.140625" style="123" hidden="1"/>
  </cols>
  <sheetData>
    <row r="1" spans="1:33" ht="21.75" customHeight="1" x14ac:dyDescent="0.25">
      <c r="B1" s="466"/>
      <c r="C1" s="466"/>
      <c r="E1" s="478" t="s">
        <v>83</v>
      </c>
      <c r="F1" s="478"/>
      <c r="G1" s="478"/>
      <c r="H1" s="478"/>
      <c r="J1" s="139"/>
      <c r="K1" s="139"/>
      <c r="L1" s="139"/>
      <c r="M1" s="139"/>
      <c r="N1" s="139"/>
      <c r="O1" s="139"/>
      <c r="P1" s="139"/>
      <c r="Q1" s="139"/>
      <c r="R1" s="139"/>
      <c r="S1" s="139"/>
      <c r="T1" s="139"/>
      <c r="U1" s="139"/>
      <c r="V1" s="139"/>
      <c r="W1" s="139"/>
      <c r="X1" s="139"/>
      <c r="Y1" s="139"/>
      <c r="Z1" s="139"/>
      <c r="AA1" s="139"/>
      <c r="AB1" s="139"/>
      <c r="AC1" s="139"/>
      <c r="AD1" s="139"/>
      <c r="AE1" s="139"/>
      <c r="AF1" s="139"/>
      <c r="AG1" s="139"/>
    </row>
    <row r="2" spans="1:33" ht="15" customHeight="1" thickBot="1" x14ac:dyDescent="0.3">
      <c r="B2" s="467"/>
      <c r="C2" s="467"/>
      <c r="E2" s="479"/>
      <c r="F2" s="479"/>
      <c r="G2" s="479"/>
      <c r="H2" s="479"/>
      <c r="J2" s="139"/>
      <c r="K2" s="299"/>
      <c r="L2" s="299"/>
      <c r="M2" s="299"/>
      <c r="N2" s="299"/>
      <c r="O2" s="299"/>
      <c r="P2" s="299"/>
      <c r="Q2" s="299"/>
      <c r="R2" s="299"/>
      <c r="S2" s="299"/>
      <c r="T2" s="299"/>
      <c r="U2" s="299"/>
      <c r="V2" s="299"/>
      <c r="W2" s="299"/>
      <c r="X2" s="299"/>
      <c r="Y2" s="299"/>
      <c r="Z2" s="299"/>
      <c r="AA2" s="299"/>
      <c r="AB2" s="299"/>
      <c r="AC2" s="299"/>
      <c r="AD2" s="299"/>
      <c r="AE2" s="299"/>
      <c r="AF2" s="299"/>
      <c r="AG2" s="139"/>
    </row>
    <row r="3" spans="1:33" ht="15" customHeight="1" thickTop="1" x14ac:dyDescent="0.25">
      <c r="A3" s="124"/>
      <c r="B3" s="140">
        <f ca="1">NOW()</f>
        <v>45896.649970138889</v>
      </c>
      <c r="C3" s="141"/>
      <c r="D3" s="142" t="s">
        <v>84</v>
      </c>
      <c r="E3" s="141"/>
      <c r="F3" s="141"/>
      <c r="G3" s="141"/>
      <c r="H3" s="143"/>
      <c r="J3" s="139"/>
      <c r="K3" s="299" t="s">
        <v>85</v>
      </c>
      <c r="L3" s="299"/>
      <c r="M3" s="299"/>
      <c r="N3" s="299"/>
      <c r="O3" s="299"/>
      <c r="P3" s="299"/>
      <c r="Q3" s="299"/>
      <c r="R3" s="299"/>
      <c r="S3" s="299"/>
      <c r="T3" s="299"/>
      <c r="U3" s="299"/>
      <c r="V3" s="299"/>
      <c r="W3" s="299"/>
      <c r="X3" s="299"/>
      <c r="Y3" s="299"/>
      <c r="Z3" s="299"/>
      <c r="AA3" s="299"/>
      <c r="AB3" s="299"/>
      <c r="AC3" s="299"/>
      <c r="AD3" s="299"/>
      <c r="AE3" s="299"/>
      <c r="AF3" s="299"/>
      <c r="AG3" s="139"/>
    </row>
    <row r="4" spans="1:33" ht="15.95" customHeight="1" x14ac:dyDescent="0.25">
      <c r="A4" s="124"/>
      <c r="B4" s="144" t="s">
        <v>86</v>
      </c>
      <c r="C4" s="468"/>
      <c r="D4" s="468"/>
      <c r="E4" s="468"/>
      <c r="F4" s="468"/>
      <c r="G4" s="124"/>
      <c r="H4" s="145"/>
      <c r="J4" s="139"/>
      <c r="K4" s="299"/>
      <c r="L4" s="299"/>
      <c r="M4" s="299"/>
      <c r="N4" s="299"/>
      <c r="O4" s="299"/>
      <c r="P4" s="299"/>
      <c r="Q4" s="299"/>
      <c r="R4" s="299"/>
      <c r="S4" s="299"/>
      <c r="T4" s="299"/>
      <c r="U4" s="299"/>
      <c r="V4" s="299"/>
      <c r="W4" s="299"/>
      <c r="X4" s="299"/>
      <c r="Y4" s="299"/>
      <c r="Z4" s="299"/>
      <c r="AA4" s="299"/>
      <c r="AB4" s="299"/>
      <c r="AC4" s="299"/>
      <c r="AD4" s="299"/>
      <c r="AE4" s="299"/>
      <c r="AF4" s="299"/>
      <c r="AG4" s="139"/>
    </row>
    <row r="5" spans="1:33" ht="15.95" customHeight="1" x14ac:dyDescent="0.25">
      <c r="A5" s="124"/>
      <c r="B5" s="144" t="s">
        <v>87</v>
      </c>
      <c r="C5" s="469"/>
      <c r="D5" s="469"/>
      <c r="E5" s="469"/>
      <c r="F5" s="146"/>
      <c r="G5" s="124"/>
      <c r="H5" s="145"/>
      <c r="J5" s="139"/>
      <c r="K5" s="147"/>
      <c r="L5" s="147"/>
      <c r="M5" s="147"/>
      <c r="N5" s="147"/>
      <c r="O5" s="147"/>
      <c r="P5" s="147"/>
      <c r="Q5" s="147"/>
      <c r="R5" s="147"/>
      <c r="S5" s="147"/>
      <c r="T5" s="147"/>
      <c r="U5" s="147"/>
      <c r="V5" s="147"/>
      <c r="W5" s="147"/>
      <c r="X5" s="147"/>
      <c r="Y5" s="147"/>
      <c r="Z5" s="147"/>
      <c r="AA5" s="147"/>
      <c r="AB5" s="147"/>
      <c r="AC5" s="147"/>
      <c r="AD5" s="147"/>
      <c r="AE5" s="147"/>
      <c r="AF5" s="147"/>
      <c r="AG5" s="139"/>
    </row>
    <row r="6" spans="1:33" ht="15.95" customHeight="1" x14ac:dyDescent="0.25">
      <c r="A6" s="124"/>
      <c r="B6" s="476" t="s">
        <v>88</v>
      </c>
      <c r="C6" s="477"/>
      <c r="D6" s="300"/>
      <c r="E6" s="400" t="s">
        <v>89</v>
      </c>
      <c r="F6" s="400"/>
      <c r="G6" s="124"/>
      <c r="H6" s="145"/>
      <c r="J6" s="139"/>
      <c r="K6" s="124"/>
      <c r="L6" s="470" t="s">
        <v>90</v>
      </c>
      <c r="M6" s="470"/>
      <c r="N6" s="470"/>
      <c r="O6" s="470"/>
      <c r="P6" s="470"/>
      <c r="Q6" s="470"/>
      <c r="R6" s="470"/>
      <c r="S6" s="470"/>
      <c r="T6" s="470"/>
      <c r="U6" s="470"/>
      <c r="V6" s="470"/>
      <c r="W6" s="470"/>
      <c r="X6" s="470"/>
      <c r="Y6" s="470"/>
      <c r="Z6" s="470"/>
      <c r="AA6" s="148"/>
      <c r="AB6" s="471" t="str">
        <f ca="1">"Worksheet completed on "&amp;C67</f>
        <v>Worksheet completed on 8/27/2025</v>
      </c>
      <c r="AC6" s="471"/>
      <c r="AD6" s="471"/>
      <c r="AE6" s="471"/>
      <c r="AF6" s="124" t="s">
        <v>91</v>
      </c>
      <c r="AG6" s="139"/>
    </row>
    <row r="7" spans="1:33" ht="15.95" customHeight="1" x14ac:dyDescent="0.25">
      <c r="A7" s="124"/>
      <c r="B7" s="149"/>
      <c r="C7" s="124"/>
      <c r="D7" s="124"/>
      <c r="E7" s="124"/>
      <c r="F7" s="124"/>
      <c r="G7" s="124"/>
      <c r="H7" s="145"/>
      <c r="J7" s="139"/>
      <c r="K7" s="124"/>
      <c r="L7" s="470"/>
      <c r="M7" s="470"/>
      <c r="N7" s="470"/>
      <c r="O7" s="470"/>
      <c r="P7" s="470"/>
      <c r="Q7" s="470"/>
      <c r="R7" s="470"/>
      <c r="S7" s="470"/>
      <c r="T7" s="470"/>
      <c r="U7" s="470"/>
      <c r="V7" s="470"/>
      <c r="W7" s="470"/>
      <c r="X7" s="470"/>
      <c r="Y7" s="470"/>
      <c r="Z7" s="470"/>
      <c r="AA7" s="148"/>
      <c r="AB7" s="471"/>
      <c r="AC7" s="471"/>
      <c r="AD7" s="471"/>
      <c r="AE7" s="471"/>
      <c r="AF7" s="124"/>
      <c r="AG7" s="139"/>
    </row>
    <row r="8" spans="1:33" ht="15.95" customHeight="1" x14ac:dyDescent="0.25">
      <c r="A8" s="124"/>
      <c r="B8" s="150" t="s">
        <v>92</v>
      </c>
      <c r="C8" s="255"/>
      <c r="D8" s="151" t="s">
        <v>93</v>
      </c>
      <c r="E8" s="152" t="s">
        <v>92</v>
      </c>
      <c r="F8" s="255"/>
      <c r="G8" s="151" t="s">
        <v>93</v>
      </c>
      <c r="H8" s="153">
        <f>F8*0.01</f>
        <v>0</v>
      </c>
      <c r="I8" s="154"/>
      <c r="J8" s="139"/>
      <c r="K8" s="472" t="str">
        <f>" Borrower:  "&amp;C4</f>
        <v xml:space="preserve"> Borrower:  </v>
      </c>
      <c r="L8" s="472"/>
      <c r="M8" s="472"/>
      <c r="N8" s="472"/>
      <c r="O8" s="472"/>
      <c r="P8" s="472"/>
      <c r="Q8" s="472"/>
      <c r="R8" s="472"/>
      <c r="S8" s="472"/>
      <c r="T8" s="472"/>
      <c r="U8" s="472"/>
      <c r="V8" s="472"/>
      <c r="W8" s="472"/>
      <c r="X8" s="472"/>
      <c r="Y8" s="472"/>
      <c r="Z8" s="472"/>
      <c r="AA8" s="147"/>
      <c r="AB8" s="474" t="str">
        <f>"FCM # "&amp;C5</f>
        <v xml:space="preserve">FCM # </v>
      </c>
      <c r="AC8" s="474"/>
      <c r="AD8" s="474"/>
      <c r="AE8" s="474"/>
      <c r="AF8" s="474"/>
      <c r="AG8" s="139"/>
    </row>
    <row r="9" spans="1:33" ht="15.95" customHeight="1" x14ac:dyDescent="0.25">
      <c r="A9" s="124"/>
      <c r="B9" s="150" t="s">
        <v>94</v>
      </c>
      <c r="C9" s="256" t="s">
        <v>32</v>
      </c>
      <c r="D9" s="151"/>
      <c r="E9" s="152" t="s">
        <v>94</v>
      </c>
      <c r="F9" s="256" t="s">
        <v>32</v>
      </c>
      <c r="G9" s="151"/>
      <c r="H9" s="155"/>
      <c r="J9" s="139"/>
      <c r="K9" s="473"/>
      <c r="L9" s="473"/>
      <c r="M9" s="473"/>
      <c r="N9" s="473"/>
      <c r="O9" s="473"/>
      <c r="P9" s="473"/>
      <c r="Q9" s="473"/>
      <c r="R9" s="473"/>
      <c r="S9" s="473"/>
      <c r="T9" s="473"/>
      <c r="U9" s="473"/>
      <c r="V9" s="473"/>
      <c r="W9" s="473"/>
      <c r="X9" s="473"/>
      <c r="Y9" s="473"/>
      <c r="Z9" s="473"/>
      <c r="AA9" s="147"/>
      <c r="AB9" s="475"/>
      <c r="AC9" s="475"/>
      <c r="AD9" s="475"/>
      <c r="AE9" s="475"/>
      <c r="AF9" s="475"/>
      <c r="AG9" s="139"/>
    </row>
    <row r="10" spans="1:33" ht="15.95" customHeight="1" x14ac:dyDescent="0.25">
      <c r="A10" s="124"/>
      <c r="B10" s="150"/>
      <c r="C10" s="156"/>
      <c r="D10" s="151"/>
      <c r="E10" s="152"/>
      <c r="F10" s="156"/>
      <c r="G10" s="151"/>
      <c r="H10" s="155"/>
      <c r="J10" s="139"/>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39"/>
    </row>
    <row r="11" spans="1:33" ht="15.95" customHeight="1" x14ac:dyDescent="0.25">
      <c r="A11" s="124"/>
      <c r="B11" s="150" t="s">
        <v>95</v>
      </c>
      <c r="C11" s="257"/>
      <c r="D11" s="151" t="s">
        <v>96</v>
      </c>
      <c r="E11" s="152" t="s">
        <v>95</v>
      </c>
      <c r="F11" s="257"/>
      <c r="G11" s="151" t="s">
        <v>96</v>
      </c>
      <c r="H11" s="155"/>
      <c r="J11" s="139"/>
      <c r="K11" s="158"/>
      <c r="L11" s="331" t="s">
        <v>97</v>
      </c>
      <c r="M11" s="331"/>
      <c r="N11" s="331"/>
      <c r="O11" s="331"/>
      <c r="P11" s="331"/>
      <c r="Q11" s="331"/>
      <c r="R11" s="453" t="s">
        <v>98</v>
      </c>
      <c r="S11" s="454"/>
      <c r="T11" s="454"/>
      <c r="U11" s="454"/>
      <c r="V11" s="454"/>
      <c r="W11" s="454"/>
      <c r="X11" s="454"/>
      <c r="Y11" s="454"/>
      <c r="Z11" s="454"/>
      <c r="AA11" s="454"/>
      <c r="AB11" s="454"/>
      <c r="AC11" s="454"/>
      <c r="AD11" s="454"/>
      <c r="AE11" s="455"/>
      <c r="AF11" s="158"/>
      <c r="AG11" s="139"/>
    </row>
    <row r="12" spans="1:33" ht="15.95" customHeight="1" x14ac:dyDescent="0.25">
      <c r="A12" s="124"/>
      <c r="B12" s="150" t="s">
        <v>99</v>
      </c>
      <c r="C12" s="258"/>
      <c r="D12" s="151" t="s">
        <v>100</v>
      </c>
      <c r="E12" s="152" t="s">
        <v>101</v>
      </c>
      <c r="F12" s="256"/>
      <c r="G12" s="151" t="s">
        <v>100</v>
      </c>
      <c r="H12" s="155"/>
      <c r="J12" s="139"/>
      <c r="K12" s="158"/>
      <c r="L12" s="331"/>
      <c r="M12" s="331"/>
      <c r="N12" s="331"/>
      <c r="O12" s="331"/>
      <c r="P12" s="331"/>
      <c r="Q12" s="331"/>
      <c r="R12" s="456"/>
      <c r="S12" s="457"/>
      <c r="T12" s="457"/>
      <c r="U12" s="457"/>
      <c r="V12" s="457"/>
      <c r="W12" s="457"/>
      <c r="X12" s="457"/>
      <c r="Y12" s="457"/>
      <c r="Z12" s="457"/>
      <c r="AA12" s="457"/>
      <c r="AB12" s="457"/>
      <c r="AC12" s="457"/>
      <c r="AD12" s="457"/>
      <c r="AE12" s="458"/>
      <c r="AF12" s="158"/>
      <c r="AG12" s="139"/>
    </row>
    <row r="13" spans="1:33" ht="15.95" customHeight="1" x14ac:dyDescent="0.25">
      <c r="A13" s="124"/>
      <c r="B13" s="150" t="s">
        <v>102</v>
      </c>
      <c r="C13" s="159" t="str">
        <f>IF(OR(ISBLANK(C12),ISBLANK(C15)),"",C12-D15)</f>
        <v/>
      </c>
      <c r="D13" s="151" t="s">
        <v>100</v>
      </c>
      <c r="E13" s="152"/>
      <c r="F13" s="160"/>
      <c r="G13" s="151"/>
      <c r="H13" s="155"/>
      <c r="J13" s="139"/>
      <c r="K13" s="158"/>
      <c r="L13" s="331"/>
      <c r="M13" s="331"/>
      <c r="N13" s="331"/>
      <c r="O13" s="331"/>
      <c r="P13" s="331"/>
      <c r="Q13" s="331"/>
      <c r="R13" s="459"/>
      <c r="S13" s="460"/>
      <c r="T13" s="460"/>
      <c r="U13" s="460"/>
      <c r="V13" s="460"/>
      <c r="W13" s="460"/>
      <c r="X13" s="460"/>
      <c r="Y13" s="460"/>
      <c r="Z13" s="460"/>
      <c r="AA13" s="460"/>
      <c r="AB13" s="460"/>
      <c r="AC13" s="460"/>
      <c r="AD13" s="460"/>
      <c r="AE13" s="461"/>
      <c r="AF13" s="158"/>
      <c r="AG13" s="139"/>
    </row>
    <row r="14" spans="1:33" ht="15.95" customHeight="1" x14ac:dyDescent="0.25">
      <c r="A14" s="124"/>
      <c r="B14" s="150"/>
      <c r="C14" s="161"/>
      <c r="D14" s="151"/>
      <c r="G14" s="151"/>
      <c r="H14" s="155"/>
      <c r="J14" s="139"/>
      <c r="K14" s="158"/>
      <c r="L14" s="158"/>
      <c r="M14" s="158"/>
      <c r="N14" s="158"/>
      <c r="O14" s="158"/>
      <c r="P14" s="158"/>
      <c r="Q14" s="158"/>
      <c r="R14" s="158"/>
      <c r="S14" s="158"/>
      <c r="T14" s="158"/>
      <c r="U14" s="158"/>
      <c r="V14" s="158"/>
      <c r="W14" s="158"/>
      <c r="X14" s="158"/>
      <c r="Y14" s="158"/>
      <c r="Z14" s="158"/>
      <c r="AA14" s="158"/>
      <c r="AB14" s="158"/>
      <c r="AC14" s="158"/>
      <c r="AD14" s="158"/>
      <c r="AE14" s="158"/>
      <c r="AF14" s="162"/>
      <c r="AG14" s="139"/>
    </row>
    <row r="15" spans="1:33" ht="15.95" customHeight="1" x14ac:dyDescent="0.25">
      <c r="A15" s="124"/>
      <c r="B15" s="150" t="s">
        <v>103</v>
      </c>
      <c r="C15" s="259"/>
      <c r="D15" s="163">
        <f ca="1">DATEDIF(C15,B3,"M")</f>
        <v>1507</v>
      </c>
      <c r="E15" s="152"/>
      <c r="F15" s="164">
        <f>SUM(F13-F24)</f>
        <v>0</v>
      </c>
      <c r="G15" s="151"/>
      <c r="H15" s="155"/>
      <c r="J15" s="139"/>
      <c r="K15" s="158"/>
      <c r="L15" s="165" t="s">
        <v>104</v>
      </c>
      <c r="M15" s="166"/>
      <c r="N15" s="167"/>
      <c r="O15" s="158"/>
      <c r="P15" s="464" t="str">
        <f>IF(ISBLANK(C15),"",C15)</f>
        <v/>
      </c>
      <c r="Q15" s="464"/>
      <c r="R15" s="464"/>
      <c r="S15" s="464"/>
      <c r="T15" s="158"/>
      <c r="U15" s="158"/>
      <c r="V15" s="165" t="s">
        <v>105</v>
      </c>
      <c r="W15" s="158"/>
      <c r="X15" s="158"/>
      <c r="Y15" s="158"/>
      <c r="Z15" s="480" t="str">
        <f>D79</f>
        <v/>
      </c>
      <c r="AA15" s="480"/>
      <c r="AB15" s="480"/>
      <c r="AC15" s="480"/>
      <c r="AD15" s="158"/>
      <c r="AE15" s="158"/>
      <c r="AF15" s="158"/>
      <c r="AG15" s="139"/>
    </row>
    <row r="16" spans="1:33" ht="15.95" customHeight="1" x14ac:dyDescent="0.25">
      <c r="A16" s="124"/>
      <c r="B16" s="150" t="s">
        <v>106</v>
      </c>
      <c r="C16" s="259"/>
      <c r="D16" s="151"/>
      <c r="E16" s="152" t="s">
        <v>107</v>
      </c>
      <c r="F16" s="255"/>
      <c r="G16" s="151" t="s">
        <v>108</v>
      </c>
      <c r="H16" s="155"/>
      <c r="J16" s="139"/>
      <c r="K16" s="158"/>
      <c r="L16" s="165" t="s">
        <v>106</v>
      </c>
      <c r="M16" s="158"/>
      <c r="N16" s="158"/>
      <c r="O16" s="158"/>
      <c r="P16" s="464" t="str">
        <f>IF(ISBLANK(C16),"",C16)</f>
        <v/>
      </c>
      <c r="Q16" s="464"/>
      <c r="R16" s="464"/>
      <c r="S16" s="464"/>
      <c r="T16" s="168"/>
      <c r="U16" s="168"/>
      <c r="V16" s="158"/>
      <c r="W16" s="158"/>
      <c r="X16" s="158"/>
      <c r="Y16" s="158"/>
      <c r="Z16" s="158"/>
      <c r="AA16" s="158"/>
      <c r="AB16" s="158"/>
      <c r="AC16" s="158"/>
      <c r="AD16" s="158"/>
      <c r="AE16" s="158"/>
      <c r="AF16" s="158"/>
      <c r="AG16" s="139"/>
    </row>
    <row r="17" spans="1:33" ht="15.95" customHeight="1" x14ac:dyDescent="0.25">
      <c r="A17" s="124"/>
      <c r="B17" s="150" t="s">
        <v>109</v>
      </c>
      <c r="C17" s="259"/>
      <c r="D17" s="151"/>
      <c r="E17" s="152" t="s">
        <v>29</v>
      </c>
      <c r="F17" s="261"/>
      <c r="G17" s="151" t="s">
        <v>96</v>
      </c>
      <c r="H17" s="155"/>
      <c r="J17" s="139"/>
      <c r="K17" s="158"/>
      <c r="L17" s="165" t="s">
        <v>109</v>
      </c>
      <c r="M17" s="158"/>
      <c r="N17" s="158"/>
      <c r="O17" s="158"/>
      <c r="P17" s="464" t="str">
        <f>IF(ISBLANK(C17),"",C17)</f>
        <v/>
      </c>
      <c r="Q17" s="464"/>
      <c r="R17" s="464"/>
      <c r="S17" s="464"/>
      <c r="T17" s="168"/>
      <c r="U17" s="465" t="str">
        <f>F77</f>
        <v xml:space="preserve">Need both current and proposed term. </v>
      </c>
      <c r="V17" s="465"/>
      <c r="W17" s="465"/>
      <c r="X17" s="465"/>
      <c r="Y17" s="465"/>
      <c r="Z17" s="465"/>
      <c r="AA17" s="465"/>
      <c r="AB17" s="465"/>
      <c r="AC17" s="465"/>
      <c r="AD17" s="465"/>
      <c r="AE17" s="465"/>
      <c r="AF17" s="158"/>
      <c r="AG17" s="139"/>
    </row>
    <row r="18" spans="1:33" ht="15.95" customHeight="1" x14ac:dyDescent="0.25">
      <c r="A18" s="124"/>
      <c r="B18" s="169"/>
      <c r="C18" s="170"/>
      <c r="D18" s="151"/>
      <c r="E18" s="124"/>
      <c r="F18" s="171"/>
      <c r="G18" s="151"/>
      <c r="H18" s="155"/>
      <c r="J18" s="139"/>
      <c r="K18" s="172"/>
      <c r="L18" s="172"/>
      <c r="M18" s="172"/>
      <c r="N18" s="172"/>
      <c r="O18" s="172"/>
      <c r="P18" s="172"/>
      <c r="Q18" s="172"/>
      <c r="R18" s="172"/>
      <c r="S18" s="172"/>
      <c r="T18" s="446"/>
      <c r="U18" s="446"/>
      <c r="V18" s="446"/>
      <c r="W18" s="446"/>
      <c r="X18" s="446"/>
      <c r="Y18" s="446"/>
      <c r="Z18" s="446"/>
      <c r="AA18" s="446"/>
      <c r="AB18" s="446"/>
      <c r="AC18" s="446"/>
      <c r="AD18" s="446"/>
      <c r="AE18" s="173"/>
      <c r="AF18" s="172"/>
      <c r="AG18" s="139"/>
    </row>
    <row r="19" spans="1:33" ht="15.95" customHeight="1" x14ac:dyDescent="0.25">
      <c r="A19" s="124"/>
      <c r="B19" s="149"/>
      <c r="C19" s="147"/>
      <c r="D19" s="151"/>
      <c r="E19" s="124"/>
      <c r="F19" s="174"/>
      <c r="G19" s="151"/>
      <c r="H19" s="145"/>
      <c r="J19" s="139"/>
      <c r="AG19" s="139"/>
    </row>
    <row r="20" spans="1:33" ht="15.95" customHeight="1" x14ac:dyDescent="0.25">
      <c r="A20" s="124"/>
      <c r="B20" s="175" t="s">
        <v>110</v>
      </c>
      <c r="C20" s="147"/>
      <c r="D20" s="151"/>
      <c r="E20" s="176" t="s">
        <v>111</v>
      </c>
      <c r="F20" s="174"/>
      <c r="G20" s="151"/>
      <c r="H20" s="177"/>
      <c r="J20" s="139"/>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39"/>
    </row>
    <row r="21" spans="1:33" ht="15.95" customHeight="1" x14ac:dyDescent="0.25">
      <c r="A21" s="124"/>
      <c r="B21" s="178" t="s">
        <v>112</v>
      </c>
      <c r="C21" s="260"/>
      <c r="D21" s="151"/>
      <c r="E21" s="179" t="s">
        <v>113</v>
      </c>
      <c r="F21" s="260"/>
      <c r="G21" s="180" t="s">
        <v>114</v>
      </c>
      <c r="H21" s="181"/>
      <c r="J21" s="139"/>
      <c r="K21" s="158"/>
      <c r="L21" s="331" t="s">
        <v>115</v>
      </c>
      <c r="M21" s="331"/>
      <c r="N21" s="331"/>
      <c r="O21" s="331"/>
      <c r="P21" s="331"/>
      <c r="Q21" s="331"/>
      <c r="R21" s="453" t="s">
        <v>116</v>
      </c>
      <c r="S21" s="454"/>
      <c r="T21" s="454"/>
      <c r="U21" s="454"/>
      <c r="V21" s="454"/>
      <c r="W21" s="454"/>
      <c r="X21" s="454"/>
      <c r="Y21" s="454"/>
      <c r="Z21" s="454"/>
      <c r="AA21" s="454"/>
      <c r="AB21" s="454"/>
      <c r="AC21" s="454"/>
      <c r="AD21" s="454"/>
      <c r="AE21" s="455"/>
      <c r="AF21" s="158"/>
      <c r="AG21" s="139"/>
    </row>
    <row r="22" spans="1:33" ht="15.95" customHeight="1" x14ac:dyDescent="0.25">
      <c r="A22" s="174"/>
      <c r="B22" s="178" t="s">
        <v>117</v>
      </c>
      <c r="C22" s="260"/>
      <c r="D22" s="182"/>
      <c r="E22" s="179" t="s">
        <v>118</v>
      </c>
      <c r="F22" s="260"/>
      <c r="G22" s="180" t="s">
        <v>119</v>
      </c>
      <c r="H22" s="181"/>
      <c r="J22" s="139"/>
      <c r="K22" s="158"/>
      <c r="L22" s="331"/>
      <c r="M22" s="331"/>
      <c r="N22" s="331"/>
      <c r="O22" s="331"/>
      <c r="P22" s="331"/>
      <c r="Q22" s="331"/>
      <c r="R22" s="456"/>
      <c r="S22" s="457"/>
      <c r="T22" s="457"/>
      <c r="U22" s="457"/>
      <c r="V22" s="457"/>
      <c r="W22" s="457"/>
      <c r="X22" s="457"/>
      <c r="Y22" s="457"/>
      <c r="Z22" s="457"/>
      <c r="AA22" s="457"/>
      <c r="AB22" s="457"/>
      <c r="AC22" s="457"/>
      <c r="AD22" s="457"/>
      <c r="AE22" s="458"/>
      <c r="AF22" s="158"/>
      <c r="AG22" s="139"/>
    </row>
    <row r="23" spans="1:33" ht="15.95" customHeight="1" x14ac:dyDescent="0.25">
      <c r="A23" s="174"/>
      <c r="B23" s="178" t="s">
        <v>120</v>
      </c>
      <c r="C23" s="260"/>
      <c r="D23" s="182"/>
      <c r="E23" s="179" t="s">
        <v>121</v>
      </c>
      <c r="F23" s="260"/>
      <c r="G23" s="180" t="s">
        <v>122</v>
      </c>
      <c r="H23" s="181"/>
      <c r="J23" s="139"/>
      <c r="K23" s="158"/>
      <c r="L23" s="331"/>
      <c r="M23" s="331"/>
      <c r="N23" s="331"/>
      <c r="O23" s="331"/>
      <c r="P23" s="331"/>
      <c r="Q23" s="331"/>
      <c r="R23" s="459"/>
      <c r="S23" s="460"/>
      <c r="T23" s="460"/>
      <c r="U23" s="460"/>
      <c r="V23" s="460"/>
      <c r="W23" s="460"/>
      <c r="X23" s="460"/>
      <c r="Y23" s="460"/>
      <c r="Z23" s="460"/>
      <c r="AA23" s="460"/>
      <c r="AB23" s="460"/>
      <c r="AC23" s="460"/>
      <c r="AD23" s="460"/>
      <c r="AE23" s="461"/>
      <c r="AF23" s="158"/>
      <c r="AG23" s="139"/>
    </row>
    <row r="24" spans="1:33" ht="15.95" customHeight="1" x14ac:dyDescent="0.25">
      <c r="A24" s="174"/>
      <c r="B24" s="169"/>
      <c r="C24" s="183"/>
      <c r="E24" s="184" t="s">
        <v>123</v>
      </c>
      <c r="F24" s="260"/>
      <c r="G24" s="185" t="s">
        <v>124</v>
      </c>
      <c r="H24" s="181"/>
      <c r="J24" s="139"/>
      <c r="K24" s="158"/>
      <c r="L24" s="158"/>
      <c r="M24" s="158"/>
      <c r="N24" s="158"/>
      <c r="O24" s="158"/>
      <c r="P24" s="158"/>
      <c r="Q24" s="158"/>
      <c r="R24" s="158"/>
      <c r="S24" s="158"/>
      <c r="T24" s="158"/>
      <c r="U24" s="158"/>
      <c r="V24" s="158"/>
      <c r="W24" s="158"/>
      <c r="X24" s="158"/>
      <c r="Y24" s="158"/>
      <c r="Z24" s="158"/>
      <c r="AA24" s="158"/>
      <c r="AB24" s="158"/>
      <c r="AC24" s="158"/>
      <c r="AD24" s="158"/>
      <c r="AE24" s="158"/>
      <c r="AF24" s="162"/>
      <c r="AG24" s="139"/>
    </row>
    <row r="25" spans="1:33" ht="15.95" customHeight="1" x14ac:dyDescent="0.25">
      <c r="A25" s="174"/>
      <c r="B25" s="169"/>
      <c r="E25" s="179" t="s">
        <v>125</v>
      </c>
      <c r="F25" s="260"/>
      <c r="G25" s="180"/>
      <c r="H25" s="181"/>
      <c r="J25" s="139"/>
      <c r="K25" s="158"/>
      <c r="L25" s="165" t="s">
        <v>126</v>
      </c>
      <c r="M25" s="166"/>
      <c r="N25" s="167"/>
      <c r="O25" s="158"/>
      <c r="P25" s="462" t="str">
        <f>IF(ISBLANK(C9),"",C9)</f>
        <v>Select One</v>
      </c>
      <c r="Q25" s="462"/>
      <c r="R25" s="186" t="s">
        <v>127</v>
      </c>
      <c r="S25" s="442" t="str">
        <f>IF(ISBLANK(C8),"",C8)</f>
        <v/>
      </c>
      <c r="T25" s="442"/>
      <c r="U25" s="187" t="s">
        <v>93</v>
      </c>
      <c r="V25" s="463" t="s">
        <v>128</v>
      </c>
      <c r="W25" s="463"/>
      <c r="X25" s="431" t="e">
        <f>IF(E73&gt;0,VLOOKUP(D72,E67:G72,3),"Unknown")</f>
        <v>#N/A</v>
      </c>
      <c r="Y25" s="431"/>
      <c r="Z25" s="431"/>
      <c r="AA25" s="158"/>
      <c r="AB25" s="158"/>
      <c r="AC25" s="158"/>
      <c r="AD25" s="158"/>
      <c r="AE25" s="158"/>
      <c r="AF25" s="158"/>
      <c r="AG25" s="139"/>
    </row>
    <row r="26" spans="1:33" ht="15.95" customHeight="1" x14ac:dyDescent="0.25">
      <c r="A26" s="174"/>
      <c r="B26" s="178"/>
      <c r="C26" s="174"/>
      <c r="E26" s="179" t="s">
        <v>129</v>
      </c>
      <c r="F26" s="260"/>
      <c r="H26" s="155"/>
      <c r="J26" s="139"/>
      <c r="K26" s="158"/>
      <c r="L26" s="165" t="s">
        <v>130</v>
      </c>
      <c r="M26" s="158"/>
      <c r="N26" s="158"/>
      <c r="O26" s="158"/>
      <c r="P26" s="441" t="str">
        <f>IF(ISBLANK(F9),"",F9)</f>
        <v>Select One</v>
      </c>
      <c r="Q26" s="441"/>
      <c r="R26" s="186" t="s">
        <v>127</v>
      </c>
      <c r="S26" s="442" t="str">
        <f>IF(ISBLANK(F8),"",F8)</f>
        <v/>
      </c>
      <c r="T26" s="442"/>
      <c r="U26" s="188" t="s">
        <v>93</v>
      </c>
      <c r="V26" s="165" t="s">
        <v>131</v>
      </c>
      <c r="W26" s="165"/>
      <c r="X26" s="165"/>
      <c r="Y26" s="165"/>
      <c r="Z26" s="165"/>
      <c r="AA26" s="443" t="e">
        <f>IF(X25="Unknown","",E73)</f>
        <v>#N/A</v>
      </c>
      <c r="AB26" s="443"/>
      <c r="AC26" s="158"/>
      <c r="AD26" s="158"/>
      <c r="AE26" s="158"/>
      <c r="AF26" s="158"/>
      <c r="AG26" s="139"/>
    </row>
    <row r="27" spans="1:33" ht="15.95" customHeight="1" thickBot="1" x14ac:dyDescent="0.3">
      <c r="A27" s="124"/>
      <c r="B27" s="189"/>
      <c r="C27" s="190"/>
      <c r="D27" s="190"/>
      <c r="E27" s="174"/>
      <c r="F27" s="174"/>
      <c r="G27" s="191"/>
      <c r="H27" s="192"/>
      <c r="J27" s="139"/>
      <c r="K27" s="158"/>
      <c r="L27" s="165" t="s">
        <v>132</v>
      </c>
      <c r="M27" s="158"/>
      <c r="N27" s="158"/>
      <c r="O27" s="158"/>
      <c r="P27" s="158"/>
      <c r="Q27" s="158"/>
      <c r="R27" s="158"/>
      <c r="S27" s="444">
        <f>C72</f>
        <v>0</v>
      </c>
      <c r="T27" s="444"/>
      <c r="U27" s="168"/>
      <c r="V27" s="165" t="s">
        <v>133</v>
      </c>
      <c r="W27" s="158"/>
      <c r="X27" s="158"/>
      <c r="Y27" s="445" t="e">
        <f>IF(X25="Unknown","",IF(X25="ARM to FRM","PASS",IF(S27&gt;AA26,"PASS","FAIL")))</f>
        <v>#N/A</v>
      </c>
      <c r="Z27" s="445"/>
      <c r="AA27" s="445"/>
      <c r="AB27" s="158"/>
      <c r="AC27" s="158"/>
      <c r="AD27" s="158"/>
      <c r="AE27" s="158"/>
      <c r="AF27" s="158"/>
      <c r="AG27" s="139"/>
    </row>
    <row r="28" spans="1:33" ht="15.95" customHeight="1" thickTop="1" x14ac:dyDescent="0.25">
      <c r="A28" s="124"/>
      <c r="B28" s="124"/>
      <c r="C28" s="124"/>
      <c r="D28" s="124"/>
      <c r="E28" s="193"/>
      <c r="F28" s="193"/>
      <c r="G28" s="141"/>
      <c r="H28" s="124"/>
      <c r="J28" s="139"/>
      <c r="K28" s="172"/>
      <c r="L28" s="172"/>
      <c r="M28" s="172"/>
      <c r="N28" s="172"/>
      <c r="O28" s="172"/>
      <c r="P28" s="172"/>
      <c r="Q28" s="172"/>
      <c r="R28" s="172"/>
      <c r="S28" s="172"/>
      <c r="T28" s="446"/>
      <c r="U28" s="446"/>
      <c r="V28" s="446"/>
      <c r="W28" s="446"/>
      <c r="X28" s="446"/>
      <c r="Y28" s="446"/>
      <c r="Z28" s="446"/>
      <c r="AA28" s="446"/>
      <c r="AB28" s="446"/>
      <c r="AC28" s="446"/>
      <c r="AD28" s="446"/>
      <c r="AE28" s="173"/>
      <c r="AF28" s="172"/>
      <c r="AG28" s="139"/>
    </row>
    <row r="29" spans="1:33" ht="15.95" customHeight="1" x14ac:dyDescent="0.25">
      <c r="A29" s="124"/>
      <c r="B29" s="179"/>
      <c r="C29" s="194"/>
      <c r="D29" s="194"/>
      <c r="E29" s="194"/>
      <c r="F29" s="124"/>
      <c r="G29" s="124"/>
      <c r="J29" s="139"/>
      <c r="AG29" s="139"/>
    </row>
    <row r="30" spans="1:33" ht="15.95" customHeight="1" x14ac:dyDescent="0.25">
      <c r="A30" s="124"/>
      <c r="B30" s="179"/>
      <c r="C30" s="194"/>
      <c r="D30" s="194"/>
      <c r="E30" s="194"/>
      <c r="F30" s="124"/>
      <c r="J30" s="139"/>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39"/>
    </row>
    <row r="31" spans="1:33" ht="15.95" customHeight="1" x14ac:dyDescent="0.25">
      <c r="A31" s="124"/>
      <c r="B31" s="179"/>
      <c r="C31" s="194"/>
      <c r="D31" s="194"/>
      <c r="E31" s="194"/>
      <c r="F31" s="124"/>
      <c r="J31" s="139"/>
      <c r="K31" s="158"/>
      <c r="L31" s="331" t="s">
        <v>134</v>
      </c>
      <c r="M31" s="331"/>
      <c r="N31" s="331"/>
      <c r="O31" s="331"/>
      <c r="P31" s="331"/>
      <c r="Q31" s="331"/>
      <c r="R31" s="447" t="s">
        <v>135</v>
      </c>
      <c r="S31" s="448"/>
      <c r="T31" s="448"/>
      <c r="U31" s="448"/>
      <c r="V31" s="448"/>
      <c r="W31" s="448"/>
      <c r="X31" s="448"/>
      <c r="Y31" s="448"/>
      <c r="Z31" s="448"/>
      <c r="AA31" s="448"/>
      <c r="AB31" s="448"/>
      <c r="AC31" s="448"/>
      <c r="AD31" s="448"/>
      <c r="AE31" s="449"/>
      <c r="AF31" s="158"/>
      <c r="AG31" s="139"/>
    </row>
    <row r="32" spans="1:33" ht="30.75" customHeight="1" x14ac:dyDescent="0.25">
      <c r="A32" s="124"/>
      <c r="B32" s="179"/>
      <c r="C32" s="194"/>
      <c r="D32" s="194"/>
      <c r="E32" s="194"/>
      <c r="F32" s="124"/>
      <c r="J32" s="139"/>
      <c r="K32" s="158"/>
      <c r="L32" s="331"/>
      <c r="M32" s="331"/>
      <c r="N32" s="331"/>
      <c r="O32" s="331"/>
      <c r="P32" s="331"/>
      <c r="Q32" s="331"/>
      <c r="R32" s="450"/>
      <c r="S32" s="451"/>
      <c r="T32" s="451"/>
      <c r="U32" s="451"/>
      <c r="V32" s="451"/>
      <c r="W32" s="451"/>
      <c r="X32" s="451"/>
      <c r="Y32" s="451"/>
      <c r="Z32" s="451"/>
      <c r="AA32" s="451"/>
      <c r="AB32" s="451"/>
      <c r="AC32" s="451"/>
      <c r="AD32" s="451"/>
      <c r="AE32" s="452"/>
      <c r="AF32" s="158"/>
      <c r="AG32" s="139"/>
    </row>
    <row r="33" spans="1:33" ht="15.95" customHeight="1" x14ac:dyDescent="0.25">
      <c r="A33" s="124"/>
      <c r="B33" s="179"/>
      <c r="C33" s="194"/>
      <c r="D33" s="194"/>
      <c r="E33" s="194"/>
      <c r="F33" s="124"/>
      <c r="J33" s="139"/>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39"/>
    </row>
    <row r="34" spans="1:33" ht="15.95" customHeight="1" x14ac:dyDescent="0.25">
      <c r="A34" s="124"/>
      <c r="B34" s="179"/>
      <c r="C34" s="194"/>
      <c r="D34" s="194"/>
      <c r="E34" s="194"/>
      <c r="F34" s="124"/>
      <c r="J34" s="139"/>
      <c r="K34" s="158"/>
      <c r="L34" s="165" t="s">
        <v>136</v>
      </c>
      <c r="M34" s="158"/>
      <c r="N34" s="158"/>
      <c r="O34" s="158"/>
      <c r="P34" s="158"/>
      <c r="Q34" s="158"/>
      <c r="R34" s="158"/>
      <c r="S34" s="427" t="str">
        <f>F74</f>
        <v/>
      </c>
      <c r="T34" s="427"/>
      <c r="U34" s="427"/>
      <c r="V34" s="165" t="s">
        <v>137</v>
      </c>
      <c r="W34" s="158"/>
      <c r="X34" s="158"/>
      <c r="Y34" s="158"/>
      <c r="Z34" s="428" t="str">
        <f>IF(F74="","",IF(F74="NOT LOWER","NOT LOWER",ROUNDUP(C90/(F74+0.00000001),0)))</f>
        <v/>
      </c>
      <c r="AA34" s="428"/>
      <c r="AB34" s="428"/>
      <c r="AC34" s="428"/>
      <c r="AD34" s="158"/>
      <c r="AE34" s="158"/>
      <c r="AF34" s="158"/>
      <c r="AG34" s="139"/>
    </row>
    <row r="35" spans="1:33" ht="15.95" customHeight="1" x14ac:dyDescent="0.25">
      <c r="A35" s="124"/>
      <c r="B35" s="179"/>
      <c r="C35" s="194"/>
      <c r="D35" s="194"/>
      <c r="E35" s="194"/>
      <c r="F35" s="124"/>
      <c r="J35" s="139"/>
      <c r="K35" s="158"/>
      <c r="L35" s="165" t="s">
        <v>138</v>
      </c>
      <c r="M35" s="158"/>
      <c r="N35" s="158"/>
      <c r="O35" s="158"/>
      <c r="P35" s="158"/>
      <c r="Q35" s="158"/>
      <c r="R35" s="158"/>
      <c r="S35" s="429">
        <f>C90</f>
        <v>0</v>
      </c>
      <c r="T35" s="429"/>
      <c r="U35" s="429"/>
      <c r="V35" s="430" t="s">
        <v>139</v>
      </c>
      <c r="W35" s="430"/>
      <c r="X35" s="430"/>
      <c r="Y35" s="440" t="str">
        <f>IF(ISBLANK(C52),"",IF(C52="NOT LOWER",C56,""))</f>
        <v/>
      </c>
      <c r="Z35" s="440"/>
      <c r="AA35" s="425" t="str">
        <f>IF(ISBLANK(F11),"",IF(Z34="not lower","",IF(S34&gt;0,C55,"")))</f>
        <v/>
      </c>
      <c r="AB35" s="425"/>
      <c r="AC35" s="425"/>
      <c r="AD35" s="425"/>
      <c r="AE35" s="425"/>
      <c r="AF35" s="158"/>
      <c r="AG35" s="139"/>
    </row>
    <row r="36" spans="1:33" ht="15.95" customHeight="1" x14ac:dyDescent="0.25">
      <c r="A36" s="124"/>
      <c r="B36" s="179"/>
      <c r="C36" s="194"/>
      <c r="D36" s="194"/>
      <c r="E36" s="194"/>
      <c r="F36" s="124"/>
      <c r="J36" s="139"/>
      <c r="K36" s="158"/>
      <c r="L36" s="165"/>
      <c r="M36" s="158"/>
      <c r="N36" s="158"/>
      <c r="O36" s="158"/>
      <c r="P36" s="158"/>
      <c r="Q36" s="158"/>
      <c r="R36" s="158"/>
      <c r="S36" s="158"/>
      <c r="T36" s="158"/>
      <c r="U36" s="158"/>
      <c r="V36" s="430"/>
      <c r="W36" s="430"/>
      <c r="X36" s="430"/>
      <c r="Y36" s="440"/>
      <c r="Z36" s="440"/>
      <c r="AA36" s="425"/>
      <c r="AB36" s="425"/>
      <c r="AC36" s="425"/>
      <c r="AD36" s="425"/>
      <c r="AE36" s="425"/>
      <c r="AF36" s="158"/>
      <c r="AG36" s="139"/>
    </row>
    <row r="37" spans="1:33" ht="15.95" customHeight="1" x14ac:dyDescent="0.25">
      <c r="A37" s="124"/>
      <c r="B37" s="179"/>
      <c r="C37" s="194"/>
      <c r="D37" s="194"/>
      <c r="E37" s="194"/>
      <c r="F37" s="124"/>
      <c r="J37" s="139"/>
      <c r="K37" s="158"/>
      <c r="L37" s="165"/>
      <c r="M37" s="158"/>
      <c r="N37" s="158"/>
      <c r="O37" s="158"/>
      <c r="P37" s="158"/>
      <c r="Q37" s="158"/>
      <c r="R37" s="158"/>
      <c r="S37" s="158"/>
      <c r="T37" s="158"/>
      <c r="U37" s="158"/>
      <c r="V37" s="430"/>
      <c r="W37" s="430"/>
      <c r="X37" s="430"/>
      <c r="Y37" s="440"/>
      <c r="Z37" s="440"/>
      <c r="AA37" s="425"/>
      <c r="AB37" s="425"/>
      <c r="AC37" s="425"/>
      <c r="AD37" s="425"/>
      <c r="AE37" s="425"/>
      <c r="AF37" s="158"/>
      <c r="AG37" s="139"/>
    </row>
    <row r="38" spans="1:33" ht="15.95" customHeight="1" x14ac:dyDescent="0.25">
      <c r="A38" s="124"/>
      <c r="B38" s="179"/>
      <c r="C38" s="194"/>
      <c r="D38" s="194"/>
      <c r="E38" s="194"/>
      <c r="F38" s="124"/>
      <c r="J38" s="139"/>
      <c r="K38" s="172"/>
      <c r="L38" s="414" t="str">
        <f>IF(ISBLANK(Y35),"",IF(Y35="SEE BELOW","All fees (other than the funding fee, taxes and escrow impounds) must be offset by a Lender Credit. ",""))</f>
        <v/>
      </c>
      <c r="M38" s="414"/>
      <c r="N38" s="414"/>
      <c r="O38" s="414"/>
      <c r="P38" s="414"/>
      <c r="Q38" s="414"/>
      <c r="R38" s="414"/>
      <c r="S38" s="414"/>
      <c r="T38" s="414"/>
      <c r="U38" s="414"/>
      <c r="V38" s="414"/>
      <c r="W38" s="414"/>
      <c r="X38" s="414"/>
      <c r="Y38" s="414"/>
      <c r="Z38" s="414"/>
      <c r="AA38" s="414"/>
      <c r="AB38" s="414"/>
      <c r="AC38" s="414"/>
      <c r="AD38" s="414"/>
      <c r="AE38" s="414"/>
      <c r="AF38" s="172"/>
      <c r="AG38" s="139"/>
    </row>
    <row r="39" spans="1:33" ht="15.95" customHeight="1" x14ac:dyDescent="0.25">
      <c r="A39" s="124"/>
      <c r="B39" s="179"/>
      <c r="C39" s="195"/>
      <c r="D39" s="196"/>
      <c r="E39" s="196"/>
      <c r="F39" s="195"/>
      <c r="J39" s="139"/>
      <c r="AG39" s="139"/>
    </row>
    <row r="40" spans="1:33" ht="15.95" hidden="1" customHeight="1" thickTop="1" x14ac:dyDescent="0.25">
      <c r="A40" s="124"/>
      <c r="B40" s="179"/>
      <c r="C40" s="195"/>
      <c r="D40" s="196"/>
      <c r="E40" s="196"/>
      <c r="F40" s="195"/>
      <c r="J40" s="139"/>
      <c r="AG40" s="139"/>
    </row>
    <row r="41" spans="1:33" ht="15.95" hidden="1" customHeight="1" thickBot="1" x14ac:dyDescent="0.3">
      <c r="A41" s="124"/>
      <c r="C41" s="195"/>
      <c r="D41" s="196"/>
      <c r="E41" s="196"/>
      <c r="F41" s="195"/>
      <c r="J41" s="139"/>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39"/>
    </row>
    <row r="42" spans="1:33" ht="15.95" hidden="1" customHeight="1" thickBot="1" x14ac:dyDescent="0.3">
      <c r="A42" s="124"/>
      <c r="D42" s="196"/>
      <c r="E42" s="196"/>
      <c r="J42" s="139"/>
      <c r="K42" s="158"/>
      <c r="L42" s="432" t="s">
        <v>140</v>
      </c>
      <c r="M42" s="433"/>
      <c r="N42" s="433"/>
      <c r="O42" s="433"/>
      <c r="P42" s="433"/>
      <c r="Q42" s="433"/>
      <c r="R42" s="436" t="s">
        <v>135</v>
      </c>
      <c r="S42" s="436"/>
      <c r="T42" s="436"/>
      <c r="U42" s="436"/>
      <c r="V42" s="436"/>
      <c r="W42" s="436"/>
      <c r="X42" s="436"/>
      <c r="Y42" s="436"/>
      <c r="Z42" s="436"/>
      <c r="AA42" s="436"/>
      <c r="AB42" s="436"/>
      <c r="AC42" s="436"/>
      <c r="AD42" s="436"/>
      <c r="AE42" s="437"/>
      <c r="AF42" s="158"/>
      <c r="AG42" s="139"/>
    </row>
    <row r="43" spans="1:33" ht="27.75" hidden="1" customHeight="1" thickBot="1" x14ac:dyDescent="0.35">
      <c r="A43" s="124"/>
      <c r="B43" s="122" t="s">
        <v>141</v>
      </c>
      <c r="D43" s="196"/>
      <c r="E43" s="196"/>
      <c r="J43" s="139"/>
      <c r="K43" s="158"/>
      <c r="L43" s="434"/>
      <c r="M43" s="435"/>
      <c r="N43" s="435"/>
      <c r="O43" s="435"/>
      <c r="P43" s="435"/>
      <c r="Q43" s="435"/>
      <c r="R43" s="438"/>
      <c r="S43" s="438"/>
      <c r="T43" s="438"/>
      <c r="U43" s="438"/>
      <c r="V43" s="438"/>
      <c r="W43" s="438"/>
      <c r="X43" s="438"/>
      <c r="Y43" s="438"/>
      <c r="Z43" s="438"/>
      <c r="AA43" s="438"/>
      <c r="AB43" s="438"/>
      <c r="AC43" s="438"/>
      <c r="AD43" s="438"/>
      <c r="AE43" s="439"/>
      <c r="AF43" s="158"/>
      <c r="AG43" s="139"/>
    </row>
    <row r="44" spans="1:33" ht="15.95" hidden="1" customHeight="1" thickBot="1" x14ac:dyDescent="0.3">
      <c r="A44" s="124"/>
      <c r="B44" s="123" t="s">
        <v>142</v>
      </c>
      <c r="C44" s="124"/>
      <c r="D44" s="196"/>
      <c r="E44" s="196"/>
      <c r="F44" s="124"/>
      <c r="J44" s="139"/>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39"/>
    </row>
    <row r="45" spans="1:33" ht="15.95" hidden="1" customHeight="1" thickBot="1" x14ac:dyDescent="0.3">
      <c r="A45" s="124"/>
      <c r="B45" s="123" t="s">
        <v>143</v>
      </c>
      <c r="C45" s="124"/>
      <c r="D45" s="197"/>
      <c r="E45" s="124"/>
      <c r="F45" s="124"/>
      <c r="J45" s="139"/>
      <c r="K45" s="158"/>
      <c r="L45" s="165" t="s">
        <v>136</v>
      </c>
      <c r="M45" s="158"/>
      <c r="N45" s="158"/>
      <c r="O45" s="158"/>
      <c r="P45" s="158"/>
      <c r="Q45" s="158"/>
      <c r="R45" s="158"/>
      <c r="S45" s="427" t="str">
        <f>F75</f>
        <v/>
      </c>
      <c r="T45" s="427"/>
      <c r="U45" s="427"/>
      <c r="V45" s="165" t="s">
        <v>137</v>
      </c>
      <c r="W45" s="158"/>
      <c r="X45" s="158"/>
      <c r="Y45" s="165"/>
      <c r="Z45" s="428" t="str">
        <f>IF(F75="","",IF(F75="NOT LOWER","NOT LOWER",ROUNDUP(C88/(F75+0.00000001),0)))</f>
        <v/>
      </c>
      <c r="AA45" s="428"/>
      <c r="AB45" s="428"/>
      <c r="AC45" s="428"/>
      <c r="AD45" s="158"/>
      <c r="AE45" s="158"/>
      <c r="AF45" s="158"/>
      <c r="AG45" s="139"/>
    </row>
    <row r="46" spans="1:33" ht="15.95" hidden="1" customHeight="1" thickBot="1" x14ac:dyDescent="0.3">
      <c r="A46" s="124"/>
      <c r="B46" s="123" t="s">
        <v>144</v>
      </c>
      <c r="J46" s="139"/>
      <c r="K46" s="158"/>
      <c r="L46" s="165" t="s">
        <v>138</v>
      </c>
      <c r="M46" s="158"/>
      <c r="N46" s="158"/>
      <c r="O46" s="158"/>
      <c r="P46" s="158"/>
      <c r="Q46" s="158"/>
      <c r="R46" s="158"/>
      <c r="S46" s="429">
        <f>C88</f>
        <v>0</v>
      </c>
      <c r="T46" s="429"/>
      <c r="U46" s="429"/>
      <c r="V46" s="430" t="s">
        <v>139</v>
      </c>
      <c r="W46" s="430"/>
      <c r="X46" s="430"/>
      <c r="Y46" s="431" t="str">
        <f>IF(ISBLANK(C44),"",IF(C44="NOT LOWER",C50,""))</f>
        <v/>
      </c>
      <c r="Z46" s="431"/>
      <c r="AA46" s="425" t="str">
        <f>IF(ISBLANK(F11),"",IF(Z45="not lower","",IF(S45&gt;0,C49,"")))</f>
        <v/>
      </c>
      <c r="AB46" s="425"/>
      <c r="AC46" s="425"/>
      <c r="AD46" s="425"/>
      <c r="AE46" s="425"/>
      <c r="AF46" s="158"/>
      <c r="AG46" s="139"/>
    </row>
    <row r="47" spans="1:33" ht="15.95" hidden="1" customHeight="1" thickBot="1" x14ac:dyDescent="0.3">
      <c r="A47" s="124"/>
      <c r="J47" s="139"/>
      <c r="K47" s="158"/>
      <c r="L47" s="165"/>
      <c r="M47" s="158"/>
      <c r="N47" s="158"/>
      <c r="O47" s="158"/>
      <c r="P47" s="158"/>
      <c r="Q47" s="158"/>
      <c r="R47" s="158"/>
      <c r="S47" s="158"/>
      <c r="T47" s="158"/>
      <c r="U47" s="158"/>
      <c r="V47" s="430"/>
      <c r="W47" s="430"/>
      <c r="X47" s="430"/>
      <c r="Y47" s="431"/>
      <c r="Z47" s="431"/>
      <c r="AA47" s="425"/>
      <c r="AB47" s="425"/>
      <c r="AC47" s="425"/>
      <c r="AD47" s="425"/>
      <c r="AE47" s="425"/>
      <c r="AF47" s="158"/>
      <c r="AG47" s="139"/>
    </row>
    <row r="48" spans="1:33" ht="15.95" hidden="1" customHeight="1" thickBot="1" x14ac:dyDescent="0.3">
      <c r="A48" s="124"/>
      <c r="J48" s="139"/>
      <c r="K48" s="158"/>
      <c r="L48" s="165"/>
      <c r="M48" s="158"/>
      <c r="N48" s="158"/>
      <c r="O48" s="158"/>
      <c r="P48" s="158"/>
      <c r="Q48" s="158"/>
      <c r="R48" s="158"/>
      <c r="S48" s="158"/>
      <c r="T48" s="158"/>
      <c r="U48" s="158"/>
      <c r="V48" s="430"/>
      <c r="W48" s="430"/>
      <c r="X48" s="430"/>
      <c r="Y48" s="431"/>
      <c r="Z48" s="431"/>
      <c r="AA48" s="425"/>
      <c r="AB48" s="425"/>
      <c r="AC48" s="425"/>
      <c r="AD48" s="425"/>
      <c r="AE48" s="425"/>
      <c r="AF48" s="158"/>
      <c r="AG48" s="139"/>
    </row>
    <row r="49" spans="2:33" ht="15.95" hidden="1" customHeight="1" thickBot="1" x14ac:dyDescent="0.3">
      <c r="B49" s="123" t="s">
        <v>145</v>
      </c>
      <c r="C49" s="123" t="str">
        <f>IF(Z45&gt;36,"FAILING TO RECOUP.  LOAN MUST BE RESTRUCTURED","RECOUPMENT MET")</f>
        <v>FAILING TO RECOUP.  LOAN MUST BE RESTRUCTURED</v>
      </c>
      <c r="J49" s="139"/>
      <c r="K49" s="172"/>
      <c r="L49" s="414" t="str">
        <f>IF(ISBLANK(Y46),"",IF(Y46="SEE BELOW","All fees (other than the funding fee, taxes and escrow impounds) must be offset by a Lender Credit. ",""))</f>
        <v/>
      </c>
      <c r="M49" s="414"/>
      <c r="N49" s="414"/>
      <c r="O49" s="414"/>
      <c r="P49" s="414"/>
      <c r="Q49" s="414"/>
      <c r="R49" s="414"/>
      <c r="S49" s="414"/>
      <c r="T49" s="414"/>
      <c r="U49" s="414"/>
      <c r="V49" s="414"/>
      <c r="W49" s="414"/>
      <c r="X49" s="414"/>
      <c r="Y49" s="414"/>
      <c r="Z49" s="414"/>
      <c r="AA49" s="414"/>
      <c r="AB49" s="414"/>
      <c r="AC49" s="414"/>
      <c r="AD49" s="414"/>
      <c r="AE49" s="414"/>
      <c r="AF49" s="172"/>
      <c r="AG49" s="139"/>
    </row>
    <row r="50" spans="2:33" ht="15.95" hidden="1" customHeight="1" thickBot="1" x14ac:dyDescent="0.3">
      <c r="B50" s="123" t="s">
        <v>146</v>
      </c>
      <c r="C50" s="123" t="s">
        <v>147</v>
      </c>
      <c r="J50" s="139"/>
      <c r="AG50" s="139"/>
    </row>
    <row r="51" spans="2:33" ht="15.95" customHeight="1" x14ac:dyDescent="0.3">
      <c r="B51" s="119" t="s">
        <v>148</v>
      </c>
      <c r="C51" s="120"/>
      <c r="D51" s="120"/>
      <c r="E51" s="120"/>
      <c r="J51" s="139"/>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39"/>
    </row>
    <row r="52" spans="2:33" ht="15.95" customHeight="1" x14ac:dyDescent="0.25">
      <c r="B52" s="120" t="s">
        <v>142</v>
      </c>
      <c r="C52" s="120" t="str">
        <f>F74</f>
        <v/>
      </c>
      <c r="D52" s="120"/>
      <c r="E52" s="120"/>
      <c r="J52" s="139"/>
      <c r="K52" s="158"/>
      <c r="L52" s="331" t="s">
        <v>149</v>
      </c>
      <c r="M52" s="331"/>
      <c r="N52" s="331"/>
      <c r="O52" s="331"/>
      <c r="P52" s="331"/>
      <c r="Q52" s="331"/>
      <c r="R52" s="415" t="s">
        <v>150</v>
      </c>
      <c r="S52" s="416"/>
      <c r="T52" s="416"/>
      <c r="U52" s="416"/>
      <c r="V52" s="416"/>
      <c r="W52" s="416"/>
      <c r="X52" s="416"/>
      <c r="Y52" s="416"/>
      <c r="Z52" s="416"/>
      <c r="AA52" s="416"/>
      <c r="AB52" s="416"/>
      <c r="AC52" s="416"/>
      <c r="AD52" s="416"/>
      <c r="AE52" s="417"/>
      <c r="AF52" s="158"/>
      <c r="AG52" s="139"/>
    </row>
    <row r="53" spans="2:33" ht="15.95" customHeight="1" x14ac:dyDescent="0.25">
      <c r="B53" s="120" t="s">
        <v>143</v>
      </c>
      <c r="C53" s="121" t="s">
        <v>151</v>
      </c>
      <c r="D53" s="120"/>
      <c r="E53" s="120"/>
      <c r="J53" s="139"/>
      <c r="K53" s="158"/>
      <c r="L53" s="331"/>
      <c r="M53" s="331"/>
      <c r="N53" s="331"/>
      <c r="O53" s="331"/>
      <c r="P53" s="331"/>
      <c r="Q53" s="331"/>
      <c r="R53" s="418"/>
      <c r="S53" s="419"/>
      <c r="T53" s="419"/>
      <c r="U53" s="419"/>
      <c r="V53" s="419"/>
      <c r="W53" s="419"/>
      <c r="X53" s="419"/>
      <c r="Y53" s="419"/>
      <c r="Z53" s="419"/>
      <c r="AA53" s="419"/>
      <c r="AB53" s="419"/>
      <c r="AC53" s="419"/>
      <c r="AD53" s="419"/>
      <c r="AE53" s="420"/>
      <c r="AF53" s="158"/>
      <c r="AG53" s="139"/>
    </row>
    <row r="54" spans="2:33" ht="15.95" customHeight="1" x14ac:dyDescent="0.25">
      <c r="B54" s="120" t="s">
        <v>144</v>
      </c>
      <c r="C54" s="120"/>
      <c r="D54" s="120"/>
      <c r="E54" s="120"/>
      <c r="J54" s="139"/>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39"/>
    </row>
    <row r="55" spans="2:33" ht="15.95" customHeight="1" x14ac:dyDescent="0.25">
      <c r="B55" s="120" t="s">
        <v>145</v>
      </c>
      <c r="C55" s="120" t="str">
        <f>IF(Z34&gt;36,"RECOUPMENT NOT MET!","RECOUPMENT MET")</f>
        <v>RECOUPMENT NOT MET!</v>
      </c>
      <c r="D55" s="120"/>
      <c r="E55" s="120"/>
      <c r="J55" s="139"/>
      <c r="K55" s="158"/>
      <c r="L55" s="421"/>
      <c r="M55" s="421"/>
      <c r="N55" s="421"/>
      <c r="O55" s="198"/>
      <c r="P55" s="158"/>
      <c r="Q55" s="158"/>
      <c r="R55" s="158"/>
      <c r="S55" s="158"/>
      <c r="T55" s="158"/>
      <c r="U55" s="158"/>
      <c r="V55" s="158"/>
      <c r="W55" s="158"/>
      <c r="X55" s="158"/>
      <c r="Y55" s="158"/>
      <c r="Z55" s="158"/>
      <c r="AA55" s="158"/>
      <c r="AB55" s="158"/>
      <c r="AC55" s="158"/>
      <c r="AD55" s="158"/>
      <c r="AE55" s="158"/>
      <c r="AF55" s="158"/>
      <c r="AG55" s="139"/>
    </row>
    <row r="56" spans="2:33" ht="15.95" customHeight="1" x14ac:dyDescent="0.25">
      <c r="B56" s="120" t="s">
        <v>146</v>
      </c>
      <c r="C56" s="120" t="s">
        <v>147</v>
      </c>
      <c r="D56" s="120"/>
      <c r="E56" s="120"/>
      <c r="J56" s="139"/>
      <c r="K56" s="158"/>
      <c r="L56" s="422">
        <f>F16</f>
        <v>0</v>
      </c>
      <c r="M56" s="422"/>
      <c r="N56" s="422"/>
      <c r="O56" s="187">
        <f>VLOOKUP(F16,D99:E102,2)</f>
        <v>0</v>
      </c>
      <c r="P56" s="158"/>
      <c r="Q56" s="158"/>
      <c r="R56" s="158"/>
      <c r="S56" s="158"/>
      <c r="T56" s="158"/>
      <c r="U56" s="158"/>
      <c r="V56" s="158"/>
      <c r="W56" s="158"/>
      <c r="X56" s="158"/>
      <c r="Y56" s="158"/>
      <c r="Z56" s="158"/>
      <c r="AA56" s="158"/>
      <c r="AB56" s="158"/>
      <c r="AC56" s="158"/>
      <c r="AD56" s="158"/>
      <c r="AE56" s="158"/>
      <c r="AF56" s="158"/>
      <c r="AG56" s="139"/>
    </row>
    <row r="57" spans="2:33" ht="15.95" customHeight="1" thickBot="1" x14ac:dyDescent="0.3">
      <c r="B57" s="120"/>
      <c r="C57" s="120"/>
      <c r="D57" s="120"/>
      <c r="E57" s="120"/>
      <c r="J57" s="139"/>
      <c r="K57" s="158"/>
      <c r="L57" s="426">
        <f>TRUNC(M88,0)</f>
        <v>0</v>
      </c>
      <c r="M57" s="426"/>
      <c r="N57" s="426"/>
      <c r="O57" s="199" t="s">
        <v>152</v>
      </c>
      <c r="P57" s="158"/>
      <c r="Q57" s="158"/>
      <c r="R57" s="158"/>
      <c r="S57" s="158"/>
      <c r="T57" s="158"/>
      <c r="U57" s="158"/>
      <c r="V57" s="158"/>
      <c r="W57" s="158"/>
      <c r="X57" s="158"/>
      <c r="Y57" s="158"/>
      <c r="Z57" s="158"/>
      <c r="AA57" s="158"/>
      <c r="AB57" s="158"/>
      <c r="AC57" s="158"/>
      <c r="AD57" s="158"/>
      <c r="AE57" s="158"/>
      <c r="AF57" s="158"/>
      <c r="AG57" s="139"/>
    </row>
    <row r="58" spans="2:33" ht="15.95" customHeight="1" thickTop="1" thickBot="1" x14ac:dyDescent="0.3">
      <c r="B58" s="120"/>
      <c r="C58" s="120"/>
      <c r="D58" s="120"/>
      <c r="E58" s="120"/>
      <c r="J58" s="139"/>
      <c r="K58" s="172"/>
      <c r="L58" s="407">
        <f>M92</f>
        <v>0</v>
      </c>
      <c r="M58" s="408"/>
      <c r="N58" s="409"/>
      <c r="O58" s="410" t="s">
        <v>153</v>
      </c>
      <c r="P58" s="411"/>
      <c r="Q58" s="411"/>
      <c r="R58" s="411"/>
      <c r="S58" s="411"/>
      <c r="T58" s="411"/>
      <c r="U58" s="411"/>
      <c r="V58" s="411"/>
      <c r="W58" s="411"/>
      <c r="X58" s="411"/>
      <c r="Y58" s="411"/>
      <c r="Z58" s="411"/>
      <c r="AA58" s="411"/>
      <c r="AB58" s="411"/>
      <c r="AC58" s="411"/>
      <c r="AD58" s="411"/>
      <c r="AE58" s="411"/>
      <c r="AF58" s="172"/>
      <c r="AG58" s="139"/>
    </row>
    <row r="59" spans="2:33" ht="15.95" customHeight="1" thickTop="1" x14ac:dyDescent="0.25">
      <c r="J59" s="139"/>
      <c r="AE59" s="200"/>
      <c r="AG59" s="139"/>
    </row>
    <row r="60" spans="2:33" hidden="1" x14ac:dyDescent="0.25">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row>
    <row r="61" spans="2:33" x14ac:dyDescent="0.25">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row>
    <row r="62" spans="2:33" ht="15.75" customHeight="1" x14ac:dyDescent="0.25"/>
    <row r="63" spans="2:33" hidden="1" x14ac:dyDescent="0.25">
      <c r="H63" s="124"/>
      <c r="Q63" s="201"/>
      <c r="R63" s="202" t="s">
        <v>154</v>
      </c>
      <c r="S63" s="203"/>
      <c r="T63" s="204"/>
      <c r="U63" s="205" t="s">
        <v>155</v>
      </c>
      <c r="V63" s="206"/>
      <c r="Y63" s="123" t="s">
        <v>156</v>
      </c>
    </row>
    <row r="64" spans="2:33" hidden="1" x14ac:dyDescent="0.25">
      <c r="E64" s="124"/>
      <c r="F64" s="124"/>
      <c r="G64" s="124"/>
      <c r="H64" s="124"/>
      <c r="I64" s="124"/>
      <c r="Q64" s="207"/>
      <c r="R64" s="208" t="str">
        <f>CONCATENATE(C9,F9)</f>
        <v>Select OneSelect One</v>
      </c>
      <c r="S64" s="209"/>
      <c r="T64" s="210"/>
      <c r="U64" s="211"/>
      <c r="V64" s="212" t="s">
        <v>157</v>
      </c>
      <c r="X64" s="213"/>
      <c r="Y64" s="214"/>
    </row>
    <row r="65" spans="2:26" hidden="1" x14ac:dyDescent="0.25">
      <c r="E65" s="124"/>
      <c r="F65" s="124"/>
      <c r="G65" s="124"/>
      <c r="H65" s="124"/>
      <c r="I65" s="124"/>
      <c r="T65" s="210"/>
      <c r="U65" s="215" t="s">
        <v>158</v>
      </c>
      <c r="V65" s="212" t="s">
        <v>157</v>
      </c>
      <c r="Y65" s="183" t="str">
        <f>IF(F11&lt;C11,"Yes","No")</f>
        <v>No</v>
      </c>
      <c r="Z65" s="123" t="s">
        <v>159</v>
      </c>
    </row>
    <row r="66" spans="2:26" hidden="1" x14ac:dyDescent="0.25">
      <c r="E66" s="216"/>
      <c r="F66" s="217">
        <v>-1</v>
      </c>
      <c r="G66" s="218" t="s">
        <v>160</v>
      </c>
      <c r="H66" s="124"/>
      <c r="I66" s="124"/>
      <c r="T66" s="210"/>
      <c r="U66" s="215" t="s">
        <v>161</v>
      </c>
      <c r="V66" s="212" t="s">
        <v>157</v>
      </c>
      <c r="Y66" s="183" t="str">
        <f>IF(F12&lt;C12,"Decreasing","No")</f>
        <v>No</v>
      </c>
      <c r="Z66" s="123" t="s">
        <v>162</v>
      </c>
    </row>
    <row r="67" spans="2:26" hidden="1" x14ac:dyDescent="0.25">
      <c r="B67" s="124"/>
      <c r="C67" s="219" t="str">
        <f ca="1">TEXT(TODAY(),"M/DD/YYYY")</f>
        <v>8/27/2025</v>
      </c>
      <c r="D67" s="220"/>
      <c r="E67" s="221" t="s">
        <v>158</v>
      </c>
      <c r="F67" s="222">
        <v>-1</v>
      </c>
      <c r="G67" s="223" t="s">
        <v>163</v>
      </c>
      <c r="H67" s="124"/>
      <c r="I67" s="124"/>
      <c r="T67" s="210"/>
      <c r="U67" s="215" t="s">
        <v>164</v>
      </c>
      <c r="V67" s="212" t="s">
        <v>157</v>
      </c>
      <c r="Y67" s="183" t="str">
        <f>IF(R64="ARMFRM","Fixed Product","No")</f>
        <v>No</v>
      </c>
      <c r="Z67" s="123" t="s">
        <v>165</v>
      </c>
    </row>
    <row r="68" spans="2:26" hidden="1" x14ac:dyDescent="0.25">
      <c r="B68" s="124"/>
      <c r="C68" s="219"/>
      <c r="D68" s="224" t="s">
        <v>161</v>
      </c>
      <c r="E68" s="221" t="s">
        <v>161</v>
      </c>
      <c r="F68" s="222">
        <v>-1</v>
      </c>
      <c r="G68" s="223" t="s">
        <v>166</v>
      </c>
      <c r="H68" s="124"/>
      <c r="I68" s="124"/>
      <c r="T68" s="210"/>
      <c r="U68" s="215" t="s">
        <v>167</v>
      </c>
      <c r="V68" s="225" t="s">
        <v>168</v>
      </c>
      <c r="Y68" s="183"/>
    </row>
    <row r="69" spans="2:26" hidden="1" x14ac:dyDescent="0.25">
      <c r="B69" s="124"/>
      <c r="D69" s="224" t="s">
        <v>158</v>
      </c>
      <c r="E69" s="221" t="s">
        <v>164</v>
      </c>
      <c r="F69" s="222">
        <v>0</v>
      </c>
      <c r="G69" s="223" t="s">
        <v>163</v>
      </c>
      <c r="H69" s="124"/>
      <c r="I69" s="124"/>
      <c r="T69" s="210"/>
      <c r="U69" s="215" t="s">
        <v>169</v>
      </c>
      <c r="V69" s="212">
        <v>2</v>
      </c>
      <c r="Y69" s="183"/>
    </row>
    <row r="70" spans="2:26" hidden="1" x14ac:dyDescent="0.25">
      <c r="B70" s="124"/>
      <c r="D70" s="226"/>
      <c r="E70" s="221" t="s">
        <v>167</v>
      </c>
      <c r="F70" s="222" t="s">
        <v>170</v>
      </c>
      <c r="G70" s="223" t="s">
        <v>166</v>
      </c>
      <c r="H70" s="124"/>
      <c r="I70" s="124"/>
      <c r="T70" s="227"/>
      <c r="U70" s="228" t="s">
        <v>171</v>
      </c>
      <c r="V70" s="229">
        <v>0.5</v>
      </c>
    </row>
    <row r="71" spans="2:26" hidden="1" x14ac:dyDescent="0.25">
      <c r="B71" s="124"/>
      <c r="C71" s="230" t="s">
        <v>172</v>
      </c>
      <c r="D71" s="231"/>
      <c r="E71" s="221" t="s">
        <v>169</v>
      </c>
      <c r="F71" s="222">
        <v>2</v>
      </c>
      <c r="G71" s="223" t="s">
        <v>173</v>
      </c>
      <c r="H71" s="124"/>
      <c r="I71" s="124"/>
      <c r="N71" s="123">
        <v>-240</v>
      </c>
      <c r="O71" s="123" t="str">
        <f>"Term decreasing by "&amp;$E$77&amp;" months"</f>
        <v>Term decreasing by 500 months</v>
      </c>
    </row>
    <row r="72" spans="2:26" hidden="1" x14ac:dyDescent="0.25">
      <c r="B72" s="124"/>
      <c r="C72" s="232">
        <f>IF(ISBLANK(C8),0,C8-F8+0.0001)</f>
        <v>0</v>
      </c>
      <c r="D72" s="124" t="str">
        <f>IF(ISBLANK(C9),"",IF(ISBLANK(F9),"",CONCATENATE(C9,F9)))</f>
        <v>Select OneSelect One</v>
      </c>
      <c r="E72" s="233" t="s">
        <v>171</v>
      </c>
      <c r="F72" s="234">
        <v>0.5</v>
      </c>
      <c r="G72" s="235" t="s">
        <v>174</v>
      </c>
      <c r="H72" s="124"/>
      <c r="I72" s="124"/>
      <c r="N72" s="123">
        <v>0</v>
      </c>
      <c r="O72" s="123" t="str">
        <f>"Same term as original loan."</f>
        <v>Same term as original loan.</v>
      </c>
    </row>
    <row r="73" spans="2:26" hidden="1" x14ac:dyDescent="0.25">
      <c r="E73" s="236" t="e">
        <f>IF(D72="",-1,VLOOKUP(D72,E66:F72,2,FALSE))</f>
        <v>#N/A</v>
      </c>
      <c r="H73" s="124"/>
      <c r="I73" s="124"/>
      <c r="N73" s="123">
        <v>1</v>
      </c>
      <c r="O73" s="123" t="str">
        <f>"Term increasing by "&amp;$E$77&amp;" months"</f>
        <v>Term increasing by 500 months</v>
      </c>
    </row>
    <row r="74" spans="2:26" hidden="1" x14ac:dyDescent="0.25">
      <c r="B74" s="124" t="s">
        <v>175</v>
      </c>
      <c r="C74" s="237" t="str">
        <f>IF(ISBLANK(C11),"",ROUND(C11,2))</f>
        <v/>
      </c>
      <c r="D74" s="238" t="str">
        <f>IF(ISBLANK(F11),"",ROUND(F11,2))</f>
        <v/>
      </c>
      <c r="E74" s="239" t="str">
        <f>IF(ISBLANK(C11),"",IF(ISBLANK(F11),"",ROUND((C74-D74),2)))</f>
        <v/>
      </c>
      <c r="F74" s="240" t="str">
        <f>IF(E74&gt;0,E74,"NOT LOWER")</f>
        <v/>
      </c>
      <c r="G74" s="241" t="s">
        <v>176</v>
      </c>
      <c r="H74" s="124"/>
      <c r="N74" s="123">
        <v>121</v>
      </c>
      <c r="O74" s="123" t="str">
        <f>"Term increasing by "&amp;$E$77&amp;" months.  Not eligible."</f>
        <v>Term increasing by 500 months.  Not eligible.</v>
      </c>
    </row>
    <row r="75" spans="2:26" hidden="1" x14ac:dyDescent="0.25">
      <c r="B75" s="124" t="s">
        <v>177</v>
      </c>
      <c r="C75" s="237" t="str">
        <f>IF(ISBLANK(C11),"",ROUND(C11,2))</f>
        <v/>
      </c>
      <c r="D75" s="238" t="e">
        <f>IF(ISBLANK(#REF!),"",ROUND(#REF!,2))</f>
        <v>#REF!</v>
      </c>
      <c r="E75" s="239" t="str">
        <f>IF(ISBLANK(C11),"",IF(ISBLANK(#REF!),"",ROUND((C75-D75),2)))</f>
        <v/>
      </c>
      <c r="F75" s="240" t="str">
        <f>IF(E75&gt;0,E75,"NOT LOWER")</f>
        <v/>
      </c>
      <c r="G75" s="242" t="s">
        <v>178</v>
      </c>
      <c r="I75" s="243"/>
      <c r="J75" s="243"/>
      <c r="K75" s="243"/>
      <c r="L75" s="243"/>
      <c r="N75" s="123">
        <v>500</v>
      </c>
      <c r="O75" s="123" t="str">
        <f>"Need both current and proposed term. "</f>
        <v xml:space="preserve">Need both current and proposed term. </v>
      </c>
    </row>
    <row r="76" spans="2:26" hidden="1" x14ac:dyDescent="0.25">
      <c r="B76" s="124"/>
      <c r="C76" s="244" t="str">
        <f>IF(ISBLANK(C12),"",ROUND(C12,0))</f>
        <v/>
      </c>
      <c r="D76" s="244" t="str">
        <f>IF(ISBLANK(F12),"",ROUND(F12,0))</f>
        <v/>
      </c>
      <c r="E76" s="245">
        <f>IF(ISBLANK(C12),500,IF(ISBLANK(F12),500,IF(SUM(C76,D76)=0,0,(D76-C76))))</f>
        <v>500</v>
      </c>
      <c r="F76" s="246" t="str">
        <f>IF(E76&gt;120,"Term may not be extended more than 10 years","Term Okay")</f>
        <v>Term may not be extended more than 10 years</v>
      </c>
      <c r="G76" s="242" t="s">
        <v>179</v>
      </c>
      <c r="H76" s="243"/>
    </row>
    <row r="77" spans="2:26" hidden="1" x14ac:dyDescent="0.25">
      <c r="B77" s="124"/>
      <c r="C77" s="247"/>
      <c r="E77" s="123">
        <f>ABS(E76)</f>
        <v>500</v>
      </c>
      <c r="F77" s="243" t="str">
        <f>VLOOKUP(E76,N71:P75,2)</f>
        <v xml:space="preserve">Need both current and proposed term. </v>
      </c>
      <c r="G77" s="243"/>
    </row>
    <row r="78" spans="2:26" hidden="1" x14ac:dyDescent="0.25">
      <c r="B78" s="124"/>
      <c r="C78" s="248" t="s">
        <v>180</v>
      </c>
      <c r="D78" s="249" t="str">
        <f>IF(ISBLANK(C16),"",C16+211)</f>
        <v/>
      </c>
    </row>
    <row r="79" spans="2:26" hidden="1" x14ac:dyDescent="0.25">
      <c r="B79" s="124"/>
      <c r="C79" s="250" t="s">
        <v>181</v>
      </c>
      <c r="D79" s="251" t="str">
        <f>IF(ISBLANK(C17),"",IF(D78&gt;C17,D78,C17))</f>
        <v/>
      </c>
    </row>
    <row r="80" spans="2:26" hidden="1" x14ac:dyDescent="0.25">
      <c r="B80" s="124"/>
      <c r="C80" s="174"/>
      <c r="E80" s="242" t="s">
        <v>182</v>
      </c>
    </row>
    <row r="81" spans="2:30" hidden="1" x14ac:dyDescent="0.25">
      <c r="B81" s="124"/>
      <c r="C81" s="124"/>
      <c r="M81" s="412" t="s">
        <v>183</v>
      </c>
      <c r="N81" s="412"/>
      <c r="O81" s="412"/>
      <c r="P81" s="412"/>
      <c r="Q81" s="412"/>
      <c r="R81" s="412"/>
      <c r="S81" s="412"/>
      <c r="T81" s="412"/>
      <c r="W81" s="412" t="s">
        <v>184</v>
      </c>
      <c r="X81" s="412"/>
      <c r="Y81" s="412"/>
      <c r="Z81" s="412"/>
      <c r="AA81" s="412"/>
      <c r="AB81" s="412"/>
      <c r="AC81" s="412"/>
      <c r="AD81" s="412"/>
    </row>
    <row r="82" spans="2:30" hidden="1" x14ac:dyDescent="0.25">
      <c r="B82" s="124"/>
      <c r="C82" s="124" t="s">
        <v>185</v>
      </c>
      <c r="H82" s="123" t="str">
        <f>VLOOKUP(E83,B94:C97,2)</f>
        <v>Payment is not increasing by 20%.</v>
      </c>
      <c r="M82" s="413">
        <f>C21</f>
        <v>0</v>
      </c>
      <c r="N82" s="413"/>
      <c r="O82" s="413"/>
      <c r="P82" s="123" t="s">
        <v>186</v>
      </c>
      <c r="W82" s="413">
        <f>F21</f>
        <v>0</v>
      </c>
      <c r="X82" s="413"/>
      <c r="Y82" s="413"/>
      <c r="Z82" s="123" t="s">
        <v>187</v>
      </c>
    </row>
    <row r="83" spans="2:30" hidden="1" x14ac:dyDescent="0.25">
      <c r="B83" s="124"/>
      <c r="C83" s="252">
        <f>IF(ISBLANK(C10),0,IF(ISBLANK(F10),0,F10-C10))</f>
        <v>0</v>
      </c>
      <c r="E83" s="253">
        <f>IF(C83=0,0,ROUND((F10-C10)/C10,6))</f>
        <v>0</v>
      </c>
      <c r="F83" s="123" t="str">
        <f>IF(C83&lt;0,"",IF(E83&gt;0.199999,"credit qualify","okay"))</f>
        <v>okay</v>
      </c>
      <c r="M83" s="401">
        <f>SUM(C22:C23)</f>
        <v>0</v>
      </c>
      <c r="N83" s="402"/>
      <c r="O83" s="403"/>
      <c r="P83" s="123" t="s">
        <v>188</v>
      </c>
      <c r="W83" s="424">
        <f>F22</f>
        <v>0</v>
      </c>
      <c r="X83" s="424"/>
      <c r="Y83" s="424"/>
      <c r="Z83" s="123" t="s">
        <v>189</v>
      </c>
    </row>
    <row r="84" spans="2:30" hidden="1" x14ac:dyDescent="0.25">
      <c r="B84" s="124"/>
      <c r="C84" s="124"/>
      <c r="M84" s="401">
        <f>SUM(M82:O83)</f>
        <v>0</v>
      </c>
      <c r="N84" s="402"/>
      <c r="O84" s="403"/>
      <c r="P84" s="123" t="s">
        <v>190</v>
      </c>
      <c r="W84" s="401">
        <f>F23</f>
        <v>0</v>
      </c>
      <c r="X84" s="402"/>
      <c r="Y84" s="403"/>
      <c r="Z84" s="123" t="s">
        <v>191</v>
      </c>
    </row>
    <row r="85" spans="2:30" hidden="1" x14ac:dyDescent="0.25">
      <c r="B85" s="124"/>
      <c r="C85" s="248" t="s">
        <v>192</v>
      </c>
      <c r="W85" s="424">
        <f>SUM(W82:Y84)</f>
        <v>0</v>
      </c>
      <c r="X85" s="424"/>
      <c r="Y85" s="424"/>
      <c r="Z85" s="123" t="s">
        <v>193</v>
      </c>
    </row>
    <row r="86" spans="2:30" hidden="1" x14ac:dyDescent="0.25">
      <c r="B86" s="124"/>
      <c r="C86" s="252">
        <f>SUM(F22+F23)</f>
        <v>0</v>
      </c>
      <c r="D86" s="123" t="s">
        <v>194</v>
      </c>
      <c r="F86" s="183" t="e">
        <f>IF(#REF!&gt;C11,"none","")</f>
        <v>#REF!</v>
      </c>
      <c r="G86" s="123" t="s">
        <v>195</v>
      </c>
      <c r="M86" s="398">
        <f>W92</f>
        <v>0</v>
      </c>
      <c r="N86" s="399"/>
      <c r="O86" s="399"/>
      <c r="P86" s="123" t="s">
        <v>196</v>
      </c>
      <c r="W86" s="424">
        <f>F24</f>
        <v>0</v>
      </c>
      <c r="X86" s="424"/>
      <c r="Y86" s="424"/>
      <c r="Z86" s="123" t="s">
        <v>197</v>
      </c>
    </row>
    <row r="87" spans="2:30" hidden="1" x14ac:dyDescent="0.25">
      <c r="B87" s="124"/>
      <c r="C87" s="252">
        <f>ROUND(SUM(C86,-F25-F26),2)</f>
        <v>0</v>
      </c>
      <c r="D87" s="123" t="s">
        <v>198</v>
      </c>
      <c r="W87" s="401">
        <f>F25+F26</f>
        <v>0</v>
      </c>
      <c r="X87" s="402"/>
      <c r="Y87" s="403"/>
      <c r="Z87" s="123" t="s">
        <v>199</v>
      </c>
    </row>
    <row r="88" spans="2:30" hidden="1" x14ac:dyDescent="0.25">
      <c r="B88" s="124"/>
      <c r="C88" s="252">
        <f>IF(C87&gt;0,C87,0)</f>
        <v>0</v>
      </c>
      <c r="D88" s="123" t="s">
        <v>200</v>
      </c>
      <c r="F88" s="183" t="str">
        <f>IF(C88=0,"STOP","NEXT")</f>
        <v>STOP</v>
      </c>
      <c r="G88" s="123" t="str">
        <f>IF(F88="NEXT",IF(F75&gt;0,"NEXT","FAIL"),"STOP")</f>
        <v>STOP</v>
      </c>
      <c r="M88" s="398">
        <f>M84+M86</f>
        <v>0</v>
      </c>
      <c r="N88" s="399"/>
      <c r="O88" s="399"/>
      <c r="P88" s="123" t="s">
        <v>201</v>
      </c>
      <c r="W88" s="399" t="str">
        <f>IF(W87&gt;W85,"LENDER CREDIT EXCEEDS COSTS","NO")</f>
        <v>NO</v>
      </c>
      <c r="X88" s="399"/>
      <c r="Y88" s="399"/>
      <c r="Z88" s="123" t="s">
        <v>202</v>
      </c>
    </row>
    <row r="89" spans="2:30" hidden="1" x14ac:dyDescent="0.25">
      <c r="B89" s="124"/>
      <c r="C89" s="254">
        <f>SUM(F22+F23-F25-F26)</f>
        <v>0</v>
      </c>
      <c r="D89" s="123" t="s">
        <v>203</v>
      </c>
      <c r="W89" s="404"/>
      <c r="X89" s="405"/>
      <c r="Y89" s="406"/>
      <c r="Z89" s="123" t="s">
        <v>204</v>
      </c>
    </row>
    <row r="90" spans="2:30" hidden="1" x14ac:dyDescent="0.25">
      <c r="B90" s="124"/>
      <c r="C90" s="252">
        <f>IF(C89&gt;0,C89,0)</f>
        <v>0</v>
      </c>
      <c r="M90" s="423">
        <f>F24</f>
        <v>0</v>
      </c>
      <c r="N90" s="399"/>
      <c r="O90" s="399"/>
      <c r="P90" s="123" t="s">
        <v>205</v>
      </c>
      <c r="W90" s="424">
        <f>IF(W88="LENDER CREDIT EXCEEDS COSTS",W85,W87)</f>
        <v>0</v>
      </c>
      <c r="X90" s="424"/>
      <c r="Y90" s="424"/>
      <c r="Z90" s="123" t="s">
        <v>206</v>
      </c>
    </row>
    <row r="91" spans="2:30" hidden="1" x14ac:dyDescent="0.25">
      <c r="B91" s="124"/>
      <c r="C91" s="248" t="s">
        <v>207</v>
      </c>
    </row>
    <row r="92" spans="2:30" hidden="1" x14ac:dyDescent="0.25">
      <c r="B92" s="124"/>
      <c r="C92" s="252">
        <f>C21</f>
        <v>0</v>
      </c>
      <c r="D92" s="123" t="s">
        <v>186</v>
      </c>
      <c r="M92" s="398">
        <f>TRUNC(M88+M90,0)</f>
        <v>0</v>
      </c>
      <c r="N92" s="399"/>
      <c r="O92" s="399"/>
      <c r="P92" s="123" t="s">
        <v>208</v>
      </c>
      <c r="W92" s="398">
        <f>SUM(W85-W90)</f>
        <v>0</v>
      </c>
      <c r="X92" s="399"/>
      <c r="Y92" s="399"/>
      <c r="Z92" s="123" t="s">
        <v>209</v>
      </c>
    </row>
    <row r="93" spans="2:30" hidden="1" x14ac:dyDescent="0.25">
      <c r="B93" s="124"/>
      <c r="C93" s="252">
        <f>SUM(C22,C23,F21,C87)</f>
        <v>0</v>
      </c>
      <c r="D93" s="123" t="s">
        <v>210</v>
      </c>
    </row>
    <row r="94" spans="2:30" hidden="1" x14ac:dyDescent="0.25">
      <c r="B94" s="124">
        <v>-1000</v>
      </c>
      <c r="C94" s="124" t="str">
        <f>IF(C92=0,"",SUM(C92:C93))</f>
        <v/>
      </c>
      <c r="D94" s="123" t="s">
        <v>211</v>
      </c>
      <c r="W94" s="398">
        <f>W87-W90</f>
        <v>0</v>
      </c>
      <c r="X94" s="399"/>
      <c r="Y94" s="399"/>
      <c r="Z94" s="123" t="s">
        <v>212</v>
      </c>
    </row>
    <row r="95" spans="2:30" hidden="1" x14ac:dyDescent="0.25">
      <c r="B95" s="123">
        <v>0</v>
      </c>
      <c r="C95" s="123" t="s">
        <v>213</v>
      </c>
    </row>
    <row r="96" spans="2:30" hidden="1" x14ac:dyDescent="0.25">
      <c r="B96" s="123">
        <v>1.0000000000000001E-5</v>
      </c>
      <c r="C96" s="123" t="s">
        <v>214</v>
      </c>
      <c r="M96" s="398">
        <f>(W85+W86)-W87</f>
        <v>0</v>
      </c>
      <c r="N96" s="399"/>
      <c r="O96" s="399"/>
      <c r="P96" s="123" t="s">
        <v>215</v>
      </c>
    </row>
    <row r="97" spans="2:16" hidden="1" x14ac:dyDescent="0.25">
      <c r="B97" s="123">
        <v>0.19999990000000001</v>
      </c>
      <c r="C97" s="123" t="s">
        <v>213</v>
      </c>
      <c r="M97" s="398">
        <f>M86</f>
        <v>0</v>
      </c>
      <c r="N97" s="399"/>
      <c r="O97" s="399"/>
      <c r="P97" s="123" t="s">
        <v>216</v>
      </c>
    </row>
    <row r="98" spans="2:16" hidden="1" x14ac:dyDescent="0.25">
      <c r="C98" s="123" t="s">
        <v>217</v>
      </c>
    </row>
    <row r="99" spans="2:16" hidden="1" x14ac:dyDescent="0.25">
      <c r="C99" s="123" t="s">
        <v>218</v>
      </c>
      <c r="D99" s="123">
        <v>0</v>
      </c>
    </row>
    <row r="100" spans="2:16" hidden="1" x14ac:dyDescent="0.25">
      <c r="D100" s="123">
        <v>0.1</v>
      </c>
      <c r="E100" s="123" t="s">
        <v>219</v>
      </c>
    </row>
    <row r="101" spans="2:16" hidden="1" x14ac:dyDescent="0.25">
      <c r="D101" s="123">
        <v>1.1000000000000001</v>
      </c>
      <c r="E101" s="123" t="s">
        <v>220</v>
      </c>
    </row>
    <row r="102" spans="2:16" hidden="1" x14ac:dyDescent="0.25">
      <c r="D102" s="123">
        <v>2.0099999999999998</v>
      </c>
      <c r="E102" s="123" t="s">
        <v>221</v>
      </c>
    </row>
    <row r="103" spans="2:16" hidden="1" x14ac:dyDescent="0.25">
      <c r="E103" s="123" t="s">
        <v>222</v>
      </c>
    </row>
  </sheetData>
  <sheetProtection algorithmName="SHA-512" hashValue="wGl4b6Nx6Xy72f8VY1JmXwk+eb4PhaDXlJCnvf5DcaBZ5LP74fBxuYZ9ysJSX5naRCbDrv+uwcNoW99+7xO60w==" saltValue="OHcTWMk3PrYWD6oV2hkzqw==" spinCount="100000" sheet="1" objects="1" scenarios="1"/>
  <mergeCells count="77">
    <mergeCell ref="P17:S17"/>
    <mergeCell ref="U17:AE17"/>
    <mergeCell ref="B1:C2"/>
    <mergeCell ref="C4:F4"/>
    <mergeCell ref="C5:E5"/>
    <mergeCell ref="L6:Z7"/>
    <mergeCell ref="AB6:AE7"/>
    <mergeCell ref="K8:Z9"/>
    <mergeCell ref="AB8:AF9"/>
    <mergeCell ref="B6:C6"/>
    <mergeCell ref="E1:H2"/>
    <mergeCell ref="L11:Q13"/>
    <mergeCell ref="R11:AE13"/>
    <mergeCell ref="P15:S15"/>
    <mergeCell ref="Z15:AC15"/>
    <mergeCell ref="P16:S16"/>
    <mergeCell ref="T18:AD18"/>
    <mergeCell ref="L21:Q23"/>
    <mergeCell ref="R21:AE23"/>
    <mergeCell ref="P25:Q25"/>
    <mergeCell ref="S25:T25"/>
    <mergeCell ref="V25:W25"/>
    <mergeCell ref="X25:Z25"/>
    <mergeCell ref="T28:AD28"/>
    <mergeCell ref="L31:Q32"/>
    <mergeCell ref="R31:AE32"/>
    <mergeCell ref="S34:U34"/>
    <mergeCell ref="Z34:AC34"/>
    <mergeCell ref="P26:Q26"/>
    <mergeCell ref="S26:T26"/>
    <mergeCell ref="AA26:AB26"/>
    <mergeCell ref="S27:T27"/>
    <mergeCell ref="Y27:AA27"/>
    <mergeCell ref="AA35:AE37"/>
    <mergeCell ref="L57:N57"/>
    <mergeCell ref="S45:U45"/>
    <mergeCell ref="Z45:AC45"/>
    <mergeCell ref="S46:U46"/>
    <mergeCell ref="V46:X48"/>
    <mergeCell ref="Y46:Z48"/>
    <mergeCell ref="AA46:AE48"/>
    <mergeCell ref="L42:Q43"/>
    <mergeCell ref="R42:AE43"/>
    <mergeCell ref="L38:AE38"/>
    <mergeCell ref="S35:U35"/>
    <mergeCell ref="V35:X37"/>
    <mergeCell ref="Y35:Z37"/>
    <mergeCell ref="M90:O90"/>
    <mergeCell ref="W90:Y90"/>
    <mergeCell ref="M83:O83"/>
    <mergeCell ref="W83:Y83"/>
    <mergeCell ref="M84:O84"/>
    <mergeCell ref="W84:Y84"/>
    <mergeCell ref="W85:Y85"/>
    <mergeCell ref="M86:O86"/>
    <mergeCell ref="W86:Y86"/>
    <mergeCell ref="E6:F6"/>
    <mergeCell ref="W87:Y87"/>
    <mergeCell ref="M88:O88"/>
    <mergeCell ref="W88:Y88"/>
    <mergeCell ref="W89:Y89"/>
    <mergeCell ref="L58:N58"/>
    <mergeCell ref="O58:AE58"/>
    <mergeCell ref="M81:T81"/>
    <mergeCell ref="W81:AD81"/>
    <mergeCell ref="M82:O82"/>
    <mergeCell ref="W82:Y82"/>
    <mergeCell ref="L49:AE49"/>
    <mergeCell ref="L52:Q53"/>
    <mergeCell ref="R52:AE53"/>
    <mergeCell ref="L55:N55"/>
    <mergeCell ref="L56:N56"/>
    <mergeCell ref="M92:O92"/>
    <mergeCell ref="W92:Y92"/>
    <mergeCell ref="W94:Y94"/>
    <mergeCell ref="M96:O96"/>
    <mergeCell ref="M97:O97"/>
  </mergeCells>
  <conditionalFormatting sqref="L38:AE38">
    <cfRule type="containsText" dxfId="39" priority="19" operator="containsText" text="fees">
      <formula>NOT(ISERROR(SEARCH("fees",L38)))</formula>
    </cfRule>
    <cfRule type="containsText" dxfId="38" priority="20" operator="containsText" text="any">
      <formula>NOT(ISERROR(SEARCH("any",L38)))</formula>
    </cfRule>
    <cfRule type="containsText" dxfId="37" priority="22" operator="containsText" text="any">
      <formula>NOT(ISERROR(SEARCH("any",L38)))</formula>
    </cfRule>
  </conditionalFormatting>
  <conditionalFormatting sqref="L49:AE49">
    <cfRule type="containsText" dxfId="36" priority="32" operator="containsText" text="fees">
      <formula>NOT(ISERROR(SEARCH("fees",L49)))</formula>
    </cfRule>
    <cfRule type="containsText" dxfId="35" priority="33" operator="containsText" text="any">
      <formula>NOT(ISERROR(SEARCH("any",L49)))</formula>
    </cfRule>
    <cfRule type="containsText" dxfId="34" priority="35" operator="containsText" text="any">
      <formula>NOT(ISERROR(SEARCH("any",L49)))</formula>
    </cfRule>
  </conditionalFormatting>
  <conditionalFormatting sqref="O55">
    <cfRule type="containsText" dxfId="33" priority="38" operator="containsText" text="&gt;=">
      <formula>NOT(ISERROR(SEARCH("&gt;=",O55)))</formula>
    </cfRule>
  </conditionalFormatting>
  <conditionalFormatting sqref="S34">
    <cfRule type="containsText" dxfId="32" priority="24" operator="containsText" text="NOT ELIGIBLE">
      <formula>NOT(ISERROR(SEARCH("NOT ELIGIBLE",S34)))</formula>
    </cfRule>
    <cfRule type="cellIs" dxfId="31" priority="26" operator="greaterThan">
      <formula>0</formula>
    </cfRule>
  </conditionalFormatting>
  <conditionalFormatting sqref="S45">
    <cfRule type="containsText" dxfId="30" priority="37" operator="containsText" text="NOT ELIGIBLE">
      <formula>NOT(ISERROR(SEARCH("NOT ELIGIBLE",S45)))</formula>
    </cfRule>
    <cfRule type="cellIs" dxfId="29" priority="42" operator="greaterThan">
      <formula>0</formula>
    </cfRule>
  </conditionalFormatting>
  <conditionalFormatting sqref="S34:U34">
    <cfRule type="containsText" dxfId="28" priority="18" operator="containsText" text="NOT">
      <formula>NOT(ISERROR(SEARCH("NOT",S34)))</formula>
    </cfRule>
  </conditionalFormatting>
  <conditionalFormatting sqref="S45:U45">
    <cfRule type="containsText" dxfId="27" priority="31" operator="containsText" text="NOT">
      <formula>NOT(ISERROR(SEARCH("NOT",S45)))</formula>
    </cfRule>
  </conditionalFormatting>
  <conditionalFormatting sqref="U17">
    <cfRule type="containsText" dxfId="26" priority="40" operator="containsText" text="Not Eligible">
      <formula>NOT(ISERROR(SEARCH("Not Eligible",U17)))</formula>
    </cfRule>
  </conditionalFormatting>
  <conditionalFormatting sqref="U17:AE17">
    <cfRule type="containsText" dxfId="25" priority="39" operator="containsText" text="both">
      <formula>NOT(ISERROR(SEARCH("both",U17)))</formula>
    </cfRule>
  </conditionalFormatting>
  <conditionalFormatting sqref="Y35">
    <cfRule type="containsText" dxfId="24" priority="16" operator="containsText" text="SEE">
      <formula>NOT(ISERROR(SEARCH("SEE",Y35)))</formula>
    </cfRule>
  </conditionalFormatting>
  <conditionalFormatting sqref="Y46">
    <cfRule type="containsText" dxfId="23" priority="29" operator="containsText" text="SEE">
      <formula>NOT(ISERROR(SEARCH("SEE",Y46)))</formula>
    </cfRule>
  </conditionalFormatting>
  <conditionalFormatting sqref="Y27:AA27">
    <cfRule type="cellIs" dxfId="22" priority="43" operator="equal">
      <formula>"PASS"</formula>
    </cfRule>
  </conditionalFormatting>
  <conditionalFormatting sqref="Z34">
    <cfRule type="containsText" dxfId="21" priority="23" operator="containsText" text="NOT ELIGIBLE">
      <formula>NOT(ISERROR(SEARCH("NOT ELIGIBLE",Z34)))</formula>
    </cfRule>
    <cfRule type="cellIs" dxfId="20" priority="25" operator="lessThan">
      <formula>36.0001</formula>
    </cfRule>
  </conditionalFormatting>
  <conditionalFormatting sqref="Z45">
    <cfRule type="containsText" dxfId="19" priority="36" operator="containsText" text="NOT ELIGIBLE">
      <formula>NOT(ISERROR(SEARCH("NOT ELIGIBLE",Z45)))</formula>
    </cfRule>
    <cfRule type="cellIs" dxfId="18" priority="41" operator="lessThan">
      <formula>36.0001</formula>
    </cfRule>
  </conditionalFormatting>
  <conditionalFormatting sqref="Z34:AC34">
    <cfRule type="containsText" dxfId="17" priority="17" operator="containsText" text="NOT">
      <formula>NOT(ISERROR(SEARCH("NOT",Z34)))</formula>
    </cfRule>
  </conditionalFormatting>
  <conditionalFormatting sqref="Z45:AC45">
    <cfRule type="containsText" dxfId="16" priority="30" operator="containsText" text="NOT">
      <formula>NOT(ISERROR(SEARCH("NOT",Z45)))</formula>
    </cfRule>
  </conditionalFormatting>
  <conditionalFormatting sqref="AA35">
    <cfRule type="containsText" dxfId="15" priority="8" operator="containsText" text="MET">
      <formula>NOT(ISERROR(SEARCH("MET",AA35)))</formula>
    </cfRule>
    <cfRule type="containsText" dxfId="14" priority="9" operator="containsText" text="MET">
      <formula>NOT(ISERROR(SEARCH("MET",AA35)))</formula>
    </cfRule>
    <cfRule type="containsText" dxfId="13" priority="11" operator="containsText" text="STATUTORY">
      <formula>NOT(ISERROR(SEARCH("STATUTORY",AA35)))</formula>
    </cfRule>
    <cfRule type="containsText" dxfId="12" priority="12" operator="containsText" text="STATUTORY">
      <formula>NOT(ISERROR(SEARCH("STATUTORY",AA35)))</formula>
    </cfRule>
    <cfRule type="containsText" dxfId="11" priority="14" operator="containsText" text="FAIL">
      <formula>NOT(ISERROR(SEARCH("FAIL",AA35)))</formula>
    </cfRule>
    <cfRule type="containsText" dxfId="10" priority="15" operator="containsText" text="PASS">
      <formula>NOT(ISERROR(SEARCH("PASS",AA35)))</formula>
    </cfRule>
  </conditionalFormatting>
  <conditionalFormatting sqref="AA46">
    <cfRule type="containsText" dxfId="9" priority="10" operator="containsText" text="MET">
      <formula>NOT(ISERROR(SEARCH("MET",AA46)))</formula>
    </cfRule>
    <cfRule type="containsText" dxfId="8" priority="27" operator="containsText" text="FAIL">
      <formula>NOT(ISERROR(SEARCH("FAIL",AA46)))</formula>
    </cfRule>
    <cfRule type="containsText" dxfId="7" priority="28" operator="containsText" text="PASS">
      <formula>NOT(ISERROR(SEARCH("PASS",AA46)))</formula>
    </cfRule>
  </conditionalFormatting>
  <conditionalFormatting sqref="AA35:AE37">
    <cfRule type="containsText" dxfId="6" priority="1" operator="containsText" text="NOT">
      <formula>NOT(ISERROR(SEARCH("NOT",AA35)))</formula>
    </cfRule>
    <cfRule type="containsText" dxfId="5" priority="3" operator="containsText" text="MET">
      <formula>NOT(ISERROR(SEARCH("MET",AA35)))</formula>
    </cfRule>
    <cfRule type="containsText" dxfId="4" priority="6" operator="containsText" text="&gt;">
      <formula>NOT(ISERROR(SEARCH("&gt;",AA35)))</formula>
    </cfRule>
    <cfRule type="containsText" dxfId="3" priority="7" operator="containsText" text="&gt;">
      <formula>NOT(ISERROR(SEARCH("&gt;",AA35)))</formula>
    </cfRule>
  </conditionalFormatting>
  <conditionalFormatting sqref="AA46:AE48">
    <cfRule type="containsText" dxfId="2" priority="2" operator="containsText" text="FAILING">
      <formula>NOT(ISERROR(SEARCH("FAILING",AA46)))</formula>
    </cfRule>
    <cfRule type="containsText" dxfId="1" priority="4" operator="containsText" text="MET">
      <formula>NOT(ISERROR(SEARCH("MET",AA46)))</formula>
    </cfRule>
    <cfRule type="containsText" dxfId="0" priority="5" operator="containsText" text="MET">
      <formula>NOT(ISERROR(SEARCH("MET",AA46)))</formula>
    </cfRule>
  </conditionalFormatting>
  <dataValidations count="5">
    <dataValidation type="list" allowBlank="1" showInputMessage="1" showErrorMessage="1" sqref="F9 C9" xr:uid="{00000000-0002-0000-0100-000000000000}">
      <formula1>"Select One, FRM, ARM"</formula1>
    </dataValidation>
    <dataValidation type="whole" allowBlank="1" showInputMessage="1" showErrorMessage="1" sqref="F12" xr:uid="{00000000-0002-0000-0100-000001000000}">
      <formula1>120</formula1>
      <formula2>360</formula2>
    </dataValidation>
    <dataValidation type="whole" allowBlank="1" showInputMessage="1" showErrorMessage="1" error="Input number of months._x000a_Valid entry 114&lt;=354." sqref="C13:C14" xr:uid="{00000000-0002-0000-0100-000002000000}">
      <formula1>114</formula1>
      <formula2>354</formula2>
    </dataValidation>
    <dataValidation type="decimal" allowBlank="1" showInputMessage="1" showErrorMessage="1" sqref="F16" xr:uid="{00000000-0002-0000-0100-000003000000}">
      <formula1>0</formula1>
      <formula2>3</formula2>
    </dataValidation>
    <dataValidation type="whole" allowBlank="1" showInputMessage="1" showErrorMessage="1" error="Input number of months._x000a_Valid entry 120&lt;=360." sqref="C12" xr:uid="{00000000-0002-0000-0100-000004000000}">
      <formula1>120</formula1>
      <formula2>360</formula2>
    </dataValidation>
  </dataValidations>
  <pageMargins left="0.25" right="0.25" top="0.75" bottom="0.75" header="0.3" footer="0.3"/>
  <pageSetup scale="93" orientation="portrait" horizontalDpi="1200" verticalDpi="1200" r:id="rId1"/>
  <rowBreaks count="1" manualBreakCount="1">
    <brk id="58" max="31" man="1"/>
  </rowBreaks>
  <colBreaks count="2" manualBreakCount="2">
    <brk id="8" max="1048575" man="1"/>
    <brk id="31"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8"/>
  <sheetViews>
    <sheetView showGridLines="0" workbookViewId="0">
      <selection activeCell="C9" sqref="C9"/>
    </sheetView>
  </sheetViews>
  <sheetFormatPr defaultColWidth="8.85546875" defaultRowHeight="15" x14ac:dyDescent="0.25"/>
  <cols>
    <col min="1" max="1" width="4.7109375" style="89" bestFit="1" customWidth="1"/>
    <col min="2" max="2" width="49.7109375" style="89" customWidth="1"/>
    <col min="3" max="3" width="75.140625" style="93" customWidth="1"/>
  </cols>
  <sheetData>
    <row r="1" spans="1:27" ht="80.099999999999994" customHeight="1" x14ac:dyDescent="0.25">
      <c r="C1" s="301" t="s">
        <v>223</v>
      </c>
    </row>
    <row r="2" spans="1:27" x14ac:dyDescent="0.25">
      <c r="A2" s="95" t="s">
        <v>224</v>
      </c>
      <c r="B2" s="96"/>
      <c r="C2" s="97"/>
    </row>
    <row r="3" spans="1:27" x14ac:dyDescent="0.25">
      <c r="A3" s="98" t="s">
        <v>225</v>
      </c>
      <c r="B3" s="99"/>
      <c r="C3" s="100"/>
    </row>
    <row r="4" spans="1:27" x14ac:dyDescent="0.25">
      <c r="A4" s="482" t="s">
        <v>226</v>
      </c>
      <c r="B4" s="482"/>
      <c r="C4" s="302" t="s">
        <v>227</v>
      </c>
    </row>
    <row r="5" spans="1:27" x14ac:dyDescent="0.25">
      <c r="A5" s="101" t="s">
        <v>4</v>
      </c>
      <c r="B5" s="102" t="s">
        <v>5</v>
      </c>
      <c r="C5" s="103" t="s">
        <v>228</v>
      </c>
    </row>
    <row r="6" spans="1:27" ht="102" x14ac:dyDescent="0.25">
      <c r="A6" s="101" t="s">
        <v>8</v>
      </c>
      <c r="B6" s="102" t="s">
        <v>9</v>
      </c>
      <c r="C6" s="103" t="s">
        <v>229</v>
      </c>
    </row>
    <row r="7" spans="1:27" x14ac:dyDescent="0.25">
      <c r="A7" s="481" t="s">
        <v>12</v>
      </c>
      <c r="B7" s="481"/>
      <c r="C7" s="481"/>
      <c r="D7" s="90"/>
      <c r="E7" s="90"/>
      <c r="F7" s="90"/>
      <c r="G7" s="90"/>
      <c r="H7" s="90"/>
      <c r="I7" s="90"/>
    </row>
    <row r="8" spans="1:27" ht="114.75" x14ac:dyDescent="0.25">
      <c r="A8" s="101" t="s">
        <v>13</v>
      </c>
      <c r="B8" s="102" t="s">
        <v>14</v>
      </c>
      <c r="C8" s="103" t="s">
        <v>230</v>
      </c>
    </row>
    <row r="9" spans="1:27" ht="25.5" x14ac:dyDescent="0.25">
      <c r="A9" s="101" t="s">
        <v>17</v>
      </c>
      <c r="B9" s="102" t="s">
        <v>231</v>
      </c>
      <c r="C9" s="103" t="s">
        <v>232</v>
      </c>
    </row>
    <row r="10" spans="1:27" x14ac:dyDescent="0.25">
      <c r="A10" s="481" t="s">
        <v>22</v>
      </c>
      <c r="B10" s="481"/>
      <c r="C10" s="481"/>
    </row>
    <row r="11" spans="1:27" s="91" customFormat="1" ht="22.5" customHeight="1" x14ac:dyDescent="0.25">
      <c r="A11" s="101" t="s">
        <v>23</v>
      </c>
      <c r="B11" s="102" t="s">
        <v>233</v>
      </c>
      <c r="C11" s="103" t="s">
        <v>234</v>
      </c>
    </row>
    <row r="12" spans="1:27" ht="150" customHeight="1" x14ac:dyDescent="0.25">
      <c r="A12" s="101" t="s">
        <v>26</v>
      </c>
      <c r="B12" s="102" t="s">
        <v>235</v>
      </c>
      <c r="C12" s="103" t="s">
        <v>236</v>
      </c>
    </row>
    <row r="13" spans="1:27" ht="38.25" x14ac:dyDescent="0.25">
      <c r="A13" s="101" t="s">
        <v>28</v>
      </c>
      <c r="B13" s="102" t="s">
        <v>29</v>
      </c>
      <c r="C13" s="103" t="s">
        <v>237</v>
      </c>
    </row>
    <row r="14" spans="1:27" ht="135" customHeight="1" x14ac:dyDescent="0.25">
      <c r="A14" s="101" t="s">
        <v>31</v>
      </c>
      <c r="B14" s="102" t="s">
        <v>238</v>
      </c>
      <c r="C14" s="103" t="s">
        <v>239</v>
      </c>
      <c r="D14" s="92"/>
      <c r="E14" s="92"/>
      <c r="F14" s="92"/>
      <c r="G14" s="92"/>
      <c r="H14" s="92"/>
      <c r="I14" s="92"/>
      <c r="J14" s="92"/>
      <c r="K14" s="92"/>
      <c r="L14" s="92"/>
      <c r="M14" s="92"/>
      <c r="N14" s="92"/>
      <c r="O14" s="92"/>
      <c r="P14" s="92"/>
      <c r="Q14" s="92"/>
      <c r="R14" s="92"/>
      <c r="S14" s="92"/>
      <c r="T14" s="92"/>
      <c r="U14" s="92"/>
      <c r="V14" s="92"/>
      <c r="W14" s="92"/>
      <c r="X14" s="92"/>
      <c r="Y14" s="92"/>
      <c r="Z14" s="92"/>
      <c r="AA14" s="92"/>
    </row>
    <row r="15" spans="1:27" x14ac:dyDescent="0.25">
      <c r="A15" s="481" t="s">
        <v>33</v>
      </c>
      <c r="B15" s="481"/>
      <c r="C15" s="481"/>
    </row>
    <row r="16" spans="1:27" ht="25.5" x14ac:dyDescent="0.25">
      <c r="A16" s="101" t="s">
        <v>35</v>
      </c>
      <c r="B16" s="102" t="s">
        <v>36</v>
      </c>
      <c r="C16" s="103" t="s">
        <v>240</v>
      </c>
    </row>
    <row r="17" spans="1:9" s="91" customFormat="1" ht="38.25" x14ac:dyDescent="0.25">
      <c r="A17" s="101" t="s">
        <v>37</v>
      </c>
      <c r="B17" s="102" t="s">
        <v>241</v>
      </c>
      <c r="C17" s="103" t="s">
        <v>242</v>
      </c>
    </row>
    <row r="18" spans="1:9" ht="37.5" customHeight="1" x14ac:dyDescent="0.25">
      <c r="A18" s="101" t="s">
        <v>39</v>
      </c>
      <c r="B18" s="102" t="s">
        <v>243</v>
      </c>
      <c r="C18" s="103" t="s">
        <v>244</v>
      </c>
    </row>
    <row r="19" spans="1:9" ht="89.25" x14ac:dyDescent="0.25">
      <c r="A19" s="101" t="s">
        <v>42</v>
      </c>
      <c r="B19" s="102" t="s">
        <v>43</v>
      </c>
      <c r="C19" s="103" t="s">
        <v>245</v>
      </c>
      <c r="D19" s="92"/>
      <c r="E19" s="92"/>
      <c r="F19" s="92"/>
      <c r="G19" s="92"/>
      <c r="H19" s="92"/>
      <c r="I19" s="92"/>
    </row>
    <row r="20" spans="1:9" ht="38.25" x14ac:dyDescent="0.25">
      <c r="A20" s="101" t="s">
        <v>44</v>
      </c>
      <c r="B20" s="102" t="s">
        <v>45</v>
      </c>
      <c r="C20" s="103" t="s">
        <v>246</v>
      </c>
    </row>
    <row r="21" spans="1:9" x14ac:dyDescent="0.25">
      <c r="A21" s="481" t="s">
        <v>46</v>
      </c>
      <c r="B21" s="481"/>
      <c r="C21" s="481"/>
    </row>
    <row r="22" spans="1:9" ht="38.25" x14ac:dyDescent="0.25">
      <c r="A22" s="104" t="s">
        <v>48</v>
      </c>
      <c r="B22" s="102" t="s">
        <v>247</v>
      </c>
      <c r="C22" s="103" t="s">
        <v>248</v>
      </c>
    </row>
    <row r="23" spans="1:9" ht="48.75" customHeight="1" x14ac:dyDescent="0.25">
      <c r="A23" s="104" t="s">
        <v>50</v>
      </c>
      <c r="B23" s="102" t="s">
        <v>249</v>
      </c>
      <c r="C23" s="103" t="s">
        <v>250</v>
      </c>
    </row>
    <row r="24" spans="1:9" s="91" customFormat="1" ht="89.25" x14ac:dyDescent="0.25">
      <c r="A24" s="104" t="s">
        <v>51</v>
      </c>
      <c r="B24" s="102" t="s">
        <v>52</v>
      </c>
      <c r="C24" s="103" t="s">
        <v>251</v>
      </c>
    </row>
    <row r="25" spans="1:9" ht="111" customHeight="1" x14ac:dyDescent="0.25">
      <c r="A25" s="104" t="s">
        <v>54</v>
      </c>
      <c r="B25" s="102" t="s">
        <v>252</v>
      </c>
      <c r="C25" s="103" t="s">
        <v>253</v>
      </c>
    </row>
    <row r="26" spans="1:9" ht="38.25" x14ac:dyDescent="0.25">
      <c r="A26" s="104" t="s">
        <v>56</v>
      </c>
      <c r="B26" s="102" t="s">
        <v>254</v>
      </c>
      <c r="C26" s="103" t="s">
        <v>255</v>
      </c>
    </row>
    <row r="27" spans="1:9" x14ac:dyDescent="0.25">
      <c r="A27" s="481" t="s">
        <v>58</v>
      </c>
      <c r="B27" s="481"/>
      <c r="C27" s="481"/>
    </row>
    <row r="28" spans="1:9" ht="165.75" x14ac:dyDescent="0.25">
      <c r="A28" s="101" t="s">
        <v>60</v>
      </c>
      <c r="B28" s="102" t="s">
        <v>256</v>
      </c>
      <c r="C28" s="103" t="s">
        <v>257</v>
      </c>
    </row>
    <row r="29" spans="1:9" ht="89.25" x14ac:dyDescent="0.25">
      <c r="A29" s="101" t="s">
        <v>62</v>
      </c>
      <c r="B29" s="102" t="s">
        <v>63</v>
      </c>
      <c r="C29" s="103" t="s">
        <v>258</v>
      </c>
    </row>
    <row r="30" spans="1:9" ht="132" customHeight="1" x14ac:dyDescent="0.25">
      <c r="A30" s="101" t="s">
        <v>64</v>
      </c>
      <c r="B30" s="102" t="s">
        <v>259</v>
      </c>
      <c r="C30" s="103" t="s">
        <v>260</v>
      </c>
    </row>
    <row r="31" spans="1:9" ht="38.25" x14ac:dyDescent="0.25">
      <c r="A31" s="101" t="s">
        <v>66</v>
      </c>
      <c r="B31" s="102" t="s">
        <v>261</v>
      </c>
      <c r="C31" s="103" t="s">
        <v>262</v>
      </c>
    </row>
    <row r="32" spans="1:9" ht="51" x14ac:dyDescent="0.25">
      <c r="A32" s="101" t="s">
        <v>69</v>
      </c>
      <c r="B32" s="102" t="s">
        <v>263</v>
      </c>
      <c r="C32" s="103" t="s">
        <v>264</v>
      </c>
    </row>
    <row r="33" spans="1:3" ht="51" x14ac:dyDescent="0.25">
      <c r="A33" s="101" t="s">
        <v>71</v>
      </c>
      <c r="B33" s="102" t="s">
        <v>265</v>
      </c>
      <c r="C33" s="103" t="s">
        <v>266</v>
      </c>
    </row>
    <row r="34" spans="1:3" x14ac:dyDescent="0.25">
      <c r="A34" s="111" t="s">
        <v>81</v>
      </c>
    </row>
    <row r="35" spans="1:3" x14ac:dyDescent="0.25">
      <c r="A35" s="94"/>
    </row>
    <row r="36" spans="1:3" x14ac:dyDescent="0.25">
      <c r="A36" s="94"/>
    </row>
    <row r="38" spans="1:3" ht="50.25" customHeight="1" x14ac:dyDescent="0.25"/>
  </sheetData>
  <sheetProtection algorithmName="SHA-512" hashValue="cKz3oVB7j+Lixeh7wjZDUy1kUjf+pyvCJoomOQ/2dv+mutAmeEYxpcQoDwjQTU82Nb9gJOM91/DhhJkSVpb4CA==" saltValue="5dig4X/bSNmVAO0XLZnMFQ==" spinCount="100000" sheet="1" objects="1" scenarios="1"/>
  <mergeCells count="6">
    <mergeCell ref="A27:C27"/>
    <mergeCell ref="A4:B4"/>
    <mergeCell ref="A7:C7"/>
    <mergeCell ref="A10:C10"/>
    <mergeCell ref="A15:C15"/>
    <mergeCell ref="A21:C21"/>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240"/>
  <sheetViews>
    <sheetView topLeftCell="CI1" workbookViewId="0">
      <selection activeCell="CV2" sqref="CV2:CV161"/>
    </sheetView>
  </sheetViews>
  <sheetFormatPr defaultColWidth="8.85546875" defaultRowHeight="15" x14ac:dyDescent="0.25"/>
  <cols>
    <col min="1" max="1" width="8.85546875" style="43"/>
    <col min="2" max="2" width="15.42578125" style="43" customWidth="1"/>
    <col min="3" max="3" width="19.85546875" style="43" customWidth="1"/>
    <col min="4" max="4" width="22.85546875" style="44" customWidth="1"/>
    <col min="5" max="5" width="28.85546875" style="43" customWidth="1"/>
    <col min="6" max="6" width="21.85546875" style="43" customWidth="1"/>
    <col min="7" max="10" width="21" style="43" customWidth="1"/>
    <col min="11" max="11" width="23.85546875" style="43" customWidth="1"/>
    <col min="12" max="12" width="21" style="59" customWidth="1"/>
    <col min="13" max="14" width="21" style="43" customWidth="1"/>
    <col min="15" max="20" width="8.85546875" style="43"/>
    <col min="21" max="21" width="12.85546875" style="43" bestFit="1" customWidth="1"/>
    <col min="22" max="25" width="8.85546875" style="43"/>
    <col min="26" max="26" width="20.42578125" style="43" bestFit="1" customWidth="1"/>
    <col min="27" max="27" width="26.140625" style="43" bestFit="1" customWidth="1"/>
    <col min="28" max="28" width="15.7109375" style="43" bestFit="1" customWidth="1"/>
    <col min="29" max="31" width="8.85546875" style="43"/>
    <col min="32" max="32" width="5.42578125" style="43" bestFit="1" customWidth="1"/>
    <col min="33" max="33" width="20.42578125" style="43" bestFit="1" customWidth="1"/>
    <col min="34" max="34" width="26.140625" style="43" bestFit="1" customWidth="1"/>
    <col min="35" max="35" width="15.7109375" style="71" bestFit="1" customWidth="1"/>
    <col min="36" max="36" width="8.85546875" style="43"/>
    <col min="37" max="37" width="8.85546875" style="74"/>
    <col min="38" max="38" width="27.28515625" style="74" customWidth="1"/>
    <col min="39" max="39" width="35.42578125" style="74" bestFit="1" customWidth="1"/>
    <col min="40" max="40" width="14.7109375" style="74" bestFit="1" customWidth="1"/>
    <col min="41" max="41" width="8.85546875" style="43"/>
    <col min="42" max="42" width="8.85546875" style="74"/>
    <col min="43" max="43" width="27.28515625" style="74" customWidth="1"/>
    <col min="44" max="44" width="35.42578125" style="74" bestFit="1" customWidth="1"/>
    <col min="45" max="45" width="14.7109375" style="74" bestFit="1" customWidth="1"/>
    <col min="46" max="46" width="12.140625" style="43" customWidth="1"/>
    <col min="47" max="47" width="8.42578125" style="43" customWidth="1"/>
    <col min="48" max="48" width="21.42578125" style="43" customWidth="1"/>
    <col min="49" max="49" width="29.85546875" style="43" customWidth="1"/>
    <col min="50" max="50" width="15" style="42" customWidth="1"/>
    <col min="51" max="52" width="8.85546875" style="43"/>
    <col min="53" max="53" width="21" style="43" customWidth="1"/>
    <col min="54" max="54" width="29.85546875" style="43" customWidth="1"/>
    <col min="55" max="55" width="11.28515625" style="42" customWidth="1"/>
    <col min="56" max="57" width="8.85546875" style="43"/>
    <col min="58" max="59" width="24" style="43" customWidth="1"/>
    <col min="60" max="60" width="11" style="42" customWidth="1"/>
    <col min="61" max="63" width="8.85546875" style="43"/>
    <col min="64" max="64" width="21.7109375" style="43" customWidth="1"/>
    <col min="65" max="65" width="26" style="43" customWidth="1"/>
    <col min="66" max="66" width="10.7109375" style="43" customWidth="1"/>
    <col min="67" max="68" width="8.85546875" style="43"/>
    <col min="69" max="69" width="24.42578125" style="43" bestFit="1" customWidth="1"/>
    <col min="70" max="70" width="8.85546875" style="43"/>
    <col min="71" max="71" width="29.85546875" style="74" bestFit="1" customWidth="1"/>
    <col min="72" max="72" width="11.140625" style="43" bestFit="1" customWidth="1"/>
    <col min="73" max="74" width="8.85546875" style="43"/>
    <col min="75" max="75" width="42.42578125" style="43" customWidth="1"/>
    <col min="76" max="76" width="8.85546875" style="43"/>
    <col min="77" max="77" width="29.85546875" style="74" bestFit="1" customWidth="1"/>
    <col min="78" max="78" width="11.140625" style="42" bestFit="1" customWidth="1"/>
    <col min="79" max="81" width="8.85546875" style="43"/>
    <col min="82" max="82" width="35.85546875" style="43" customWidth="1"/>
    <col min="83" max="83" width="26" style="43" customWidth="1"/>
    <col min="84" max="84" width="37.42578125" style="43" customWidth="1"/>
    <col min="85" max="87" width="10.42578125" style="43" customWidth="1"/>
    <col min="88" max="88" width="8.85546875" style="43"/>
    <col min="89" max="89" width="12.42578125" style="43" customWidth="1"/>
    <col min="90" max="90" width="8.85546875" style="43"/>
    <col min="91" max="91" width="39.28515625" style="43" bestFit="1" customWidth="1"/>
    <col min="92" max="92" width="9.28515625" style="43" bestFit="1" customWidth="1"/>
    <col min="93" max="93" width="9.28515625" style="43" customWidth="1"/>
    <col min="94" max="94" width="8.85546875" style="43"/>
    <col min="95" max="95" width="40.85546875" style="43" bestFit="1" customWidth="1"/>
    <col min="96" max="96" width="8.85546875" style="43"/>
    <col min="97" max="97" width="11" style="43" bestFit="1" customWidth="1"/>
    <col min="98" max="99" width="8.85546875" style="43"/>
    <col min="100" max="100" width="31" style="43" bestFit="1" customWidth="1"/>
    <col min="101" max="101" width="11.42578125" style="43" bestFit="1" customWidth="1"/>
    <col min="102" max="16384" width="8.85546875" style="43"/>
  </cols>
  <sheetData>
    <row r="1" spans="1:101" ht="60" x14ac:dyDescent="0.25">
      <c r="A1" s="43" t="s">
        <v>267</v>
      </c>
      <c r="F1" s="45" t="s">
        <v>268</v>
      </c>
      <c r="G1" s="45" t="s">
        <v>269</v>
      </c>
      <c r="H1" s="45"/>
      <c r="I1" s="45" t="s">
        <v>270</v>
      </c>
      <c r="J1" s="45" t="s">
        <v>271</v>
      </c>
      <c r="K1" s="45" t="s">
        <v>268</v>
      </c>
      <c r="L1" s="46" t="s">
        <v>272</v>
      </c>
      <c r="M1" s="45" t="s">
        <v>273</v>
      </c>
      <c r="R1" s="45" t="s">
        <v>270</v>
      </c>
      <c r="S1" s="45" t="s">
        <v>271</v>
      </c>
      <c r="T1" s="45" t="s">
        <v>268</v>
      </c>
      <c r="U1" s="45" t="s">
        <v>274</v>
      </c>
      <c r="Y1" s="45" t="s">
        <v>270</v>
      </c>
      <c r="Z1" s="45" t="s">
        <v>271</v>
      </c>
      <c r="AA1" s="45" t="s">
        <v>268</v>
      </c>
      <c r="AB1" s="45" t="s">
        <v>275</v>
      </c>
      <c r="AF1" s="45" t="s">
        <v>270</v>
      </c>
      <c r="AG1" s="45" t="s">
        <v>271</v>
      </c>
      <c r="AH1" s="45" t="s">
        <v>268</v>
      </c>
      <c r="AI1" s="47" t="s">
        <v>276</v>
      </c>
      <c r="AK1" s="48" t="s">
        <v>270</v>
      </c>
      <c r="AL1" s="48" t="s">
        <v>271</v>
      </c>
      <c r="AM1" s="49" t="s">
        <v>268</v>
      </c>
      <c r="AN1" s="48" t="s">
        <v>277</v>
      </c>
      <c r="AP1" s="48" t="s">
        <v>270</v>
      </c>
      <c r="AQ1" s="48" t="s">
        <v>271</v>
      </c>
      <c r="AR1" s="49" t="s">
        <v>268</v>
      </c>
      <c r="AS1" s="48" t="s">
        <v>278</v>
      </c>
      <c r="AU1" s="48"/>
      <c r="AV1" s="50"/>
      <c r="AW1" s="49" t="s">
        <v>268</v>
      </c>
      <c r="AX1" s="51" t="s">
        <v>279</v>
      </c>
      <c r="BB1" s="49" t="s">
        <v>268</v>
      </c>
      <c r="BC1" s="51" t="s">
        <v>280</v>
      </c>
      <c r="BG1" s="52" t="s">
        <v>268</v>
      </c>
      <c r="BH1" s="51" t="s">
        <v>281</v>
      </c>
      <c r="BM1" s="52" t="s">
        <v>268</v>
      </c>
      <c r="BN1" s="51" t="s">
        <v>282</v>
      </c>
      <c r="BS1" s="52" t="s">
        <v>268</v>
      </c>
      <c r="BT1" s="53" t="s">
        <v>283</v>
      </c>
      <c r="BY1" s="52" t="s">
        <v>268</v>
      </c>
      <c r="BZ1" s="51" t="s">
        <v>284</v>
      </c>
      <c r="CC1" s="54" t="s">
        <v>270</v>
      </c>
      <c r="CD1" s="54" t="s">
        <v>285</v>
      </c>
      <c r="CE1" s="54" t="s">
        <v>286</v>
      </c>
      <c r="CF1" s="52" t="s">
        <v>268</v>
      </c>
      <c r="CG1" s="55" t="s">
        <v>287</v>
      </c>
      <c r="CH1" s="262"/>
      <c r="CI1" s="270" t="s">
        <v>271</v>
      </c>
      <c r="CJ1" s="270" t="s">
        <v>270</v>
      </c>
      <c r="CK1" s="44" t="s">
        <v>288</v>
      </c>
      <c r="CM1" s="271" t="s">
        <v>289</v>
      </c>
      <c r="CN1" s="44" t="s">
        <v>290</v>
      </c>
      <c r="CO1" s="44"/>
      <c r="CQ1" s="43" t="s">
        <v>289</v>
      </c>
    </row>
    <row r="2" spans="1:101" ht="30" x14ac:dyDescent="0.25">
      <c r="A2" s="43" t="s">
        <v>32</v>
      </c>
      <c r="B2" s="43" t="s">
        <v>32</v>
      </c>
      <c r="C2" s="43" t="s">
        <v>32</v>
      </c>
      <c r="D2" s="44" t="s">
        <v>291</v>
      </c>
      <c r="E2" s="43">
        <v>137062.5</v>
      </c>
      <c r="F2" s="57" t="s">
        <v>292</v>
      </c>
      <c r="G2" s="58">
        <v>417000</v>
      </c>
      <c r="H2" s="58"/>
      <c r="I2" s="45"/>
      <c r="J2" s="45"/>
      <c r="K2" s="57" t="s">
        <v>292</v>
      </c>
      <c r="L2" s="59">
        <v>417000</v>
      </c>
      <c r="M2" s="45"/>
      <c r="N2" s="58"/>
      <c r="P2" s="43" t="s">
        <v>293</v>
      </c>
      <c r="T2" s="57" t="s">
        <v>292</v>
      </c>
      <c r="U2" s="59">
        <v>417000</v>
      </c>
      <c r="AA2" s="57" t="s">
        <v>292</v>
      </c>
      <c r="AB2" s="59">
        <v>417000</v>
      </c>
      <c r="AH2" s="57" t="s">
        <v>292</v>
      </c>
      <c r="AI2" s="60">
        <v>417000</v>
      </c>
      <c r="AK2" s="50"/>
      <c r="AL2" s="50"/>
      <c r="AM2" s="61" t="s">
        <v>292</v>
      </c>
      <c r="AN2" s="62">
        <v>417000</v>
      </c>
      <c r="AP2" s="50"/>
      <c r="AQ2" s="50"/>
      <c r="AR2" s="61" t="s">
        <v>292</v>
      </c>
      <c r="AS2" s="62">
        <v>417000</v>
      </c>
      <c r="AU2" s="63"/>
      <c r="AW2" s="61" t="s">
        <v>292</v>
      </c>
      <c r="AX2" s="34">
        <v>417000</v>
      </c>
      <c r="BB2" s="61" t="s">
        <v>292</v>
      </c>
      <c r="BC2" s="34">
        <v>417000</v>
      </c>
      <c r="BG2" s="61" t="s">
        <v>292</v>
      </c>
      <c r="BH2" s="34">
        <v>424100</v>
      </c>
      <c r="BM2" s="61" t="s">
        <v>292</v>
      </c>
      <c r="BN2" s="34">
        <v>453100</v>
      </c>
      <c r="BS2" s="57" t="s">
        <v>292</v>
      </c>
      <c r="BT2" s="64">
        <v>484350</v>
      </c>
      <c r="BY2" s="57" t="s">
        <v>292</v>
      </c>
      <c r="BZ2" s="34">
        <v>510400</v>
      </c>
      <c r="CC2" s="65"/>
      <c r="CD2" s="57" t="s">
        <v>292</v>
      </c>
      <c r="CE2" s="34">
        <v>548250</v>
      </c>
      <c r="CF2" s="57" t="s">
        <v>292</v>
      </c>
      <c r="CG2" s="34">
        <v>548250</v>
      </c>
      <c r="CH2" s="34"/>
      <c r="CI2" s="483" t="s">
        <v>292</v>
      </c>
      <c r="CJ2" s="483"/>
      <c r="CK2" s="269">
        <v>647200</v>
      </c>
      <c r="CM2" s="61" t="s">
        <v>292</v>
      </c>
      <c r="CN2" s="269">
        <f t="shared" ref="CN2:CN33" si="0">CK2</f>
        <v>647200</v>
      </c>
      <c r="CO2" s="269"/>
      <c r="CQ2" s="263" t="s">
        <v>294</v>
      </c>
      <c r="CR2" s="264" t="s">
        <v>295</v>
      </c>
      <c r="CS2" s="265">
        <v>1089300</v>
      </c>
      <c r="CV2" s="43" t="str">
        <f>" - COUNTY NOT LISTED -"</f>
        <v xml:space="preserve"> - COUNTY NOT LISTED -</v>
      </c>
      <c r="CW2" s="269">
        <v>726200</v>
      </c>
    </row>
    <row r="3" spans="1:101" ht="45.75" thickBot="1" x14ac:dyDescent="0.3">
      <c r="A3" s="56">
        <v>0</v>
      </c>
      <c r="B3" s="67" t="s">
        <v>20</v>
      </c>
      <c r="C3" s="43" t="s">
        <v>10</v>
      </c>
      <c r="D3" s="44" t="s">
        <v>296</v>
      </c>
      <c r="E3" s="43">
        <v>137062.5</v>
      </c>
      <c r="F3" s="43" t="s">
        <v>297</v>
      </c>
      <c r="G3" s="58">
        <v>625500</v>
      </c>
      <c r="H3" s="58"/>
      <c r="I3" s="43" t="s">
        <v>298</v>
      </c>
      <c r="J3" s="68" t="s">
        <v>299</v>
      </c>
      <c r="K3" s="68" t="str">
        <f>CONCATENATE("(",I3,") - ",J3)</f>
        <v xml:space="preserve">(AK ) - ALEUTIANS EAST </v>
      </c>
      <c r="L3" s="69">
        <v>625500</v>
      </c>
      <c r="M3" s="68" t="s">
        <v>300</v>
      </c>
      <c r="N3" s="58"/>
      <c r="P3" s="43" t="s">
        <v>301</v>
      </c>
      <c r="R3" s="43" t="s">
        <v>295</v>
      </c>
      <c r="S3" s="43" t="s">
        <v>299</v>
      </c>
      <c r="T3" s="68" t="str">
        <f>CONCATENATE("(",R3,") - ",S3)</f>
        <v xml:space="preserve">(AK) - ALEUTIANS EAST </v>
      </c>
      <c r="U3" s="70">
        <v>625500</v>
      </c>
      <c r="Y3" s="43" t="s">
        <v>295</v>
      </c>
      <c r="Z3" s="43" t="s">
        <v>299</v>
      </c>
      <c r="AA3" s="68" t="str">
        <f>CONCATENATE("(",Y3,") - ",Z3)</f>
        <v xml:space="preserve">(AK) - ALEUTIANS EAST </v>
      </c>
      <c r="AB3" s="59">
        <v>625500</v>
      </c>
      <c r="AF3" s="68" t="s">
        <v>295</v>
      </c>
      <c r="AG3" s="68" t="s">
        <v>302</v>
      </c>
      <c r="AH3" s="68" t="str">
        <f>CONCATENATE("(",AF3,") - ",AG3)</f>
        <v xml:space="preserve">(AK) - ALEUTIANS EAST  </v>
      </c>
      <c r="AI3" s="71">
        <v>625500</v>
      </c>
      <c r="AK3" s="72" t="s">
        <v>295</v>
      </c>
      <c r="AL3" s="73" t="s">
        <v>303</v>
      </c>
      <c r="AM3" s="74" t="str">
        <f>CONCATENATE("(",AK3,") - ",AL3)</f>
        <v>(AK) - ALEUTIANS EAST</v>
      </c>
      <c r="AN3" s="75">
        <v>625500</v>
      </c>
      <c r="AP3" s="72" t="s">
        <v>295</v>
      </c>
      <c r="AQ3" s="73" t="s">
        <v>303</v>
      </c>
      <c r="AR3" s="74" t="str">
        <f>CONCATENATE("(",AP3,") - ",AQ3)</f>
        <v>(AK) - ALEUTIANS EAST</v>
      </c>
      <c r="AS3" s="75">
        <v>625500</v>
      </c>
      <c r="AU3" s="35" t="s">
        <v>295</v>
      </c>
      <c r="AV3" s="36" t="s">
        <v>303</v>
      </c>
      <c r="AW3" s="74" t="str">
        <f>CONCATENATE("(",AU3,") - ",AV3)</f>
        <v>(AK) - ALEUTIANS EAST</v>
      </c>
      <c r="AX3" s="76">
        <v>625500</v>
      </c>
      <c r="AZ3" s="37" t="s">
        <v>295</v>
      </c>
      <c r="BA3" s="38" t="s">
        <v>303</v>
      </c>
      <c r="BB3" s="74" t="str">
        <f>CONCATENATE("(",AZ3,") - ",BA3)</f>
        <v>(AK) - ALEUTIANS EAST</v>
      </c>
      <c r="BC3" s="76">
        <v>625500</v>
      </c>
      <c r="BE3" s="39" t="s">
        <v>295</v>
      </c>
      <c r="BF3" s="40" t="s">
        <v>303</v>
      </c>
      <c r="BG3" s="41" t="str">
        <f>CONCATENATE("(",BE3,") - ",BF3)</f>
        <v>(AK) - ALEUTIANS EAST</v>
      </c>
      <c r="BH3" s="77">
        <v>636150</v>
      </c>
      <c r="BK3" s="37" t="s">
        <v>295</v>
      </c>
      <c r="BL3" s="38" t="s">
        <v>303</v>
      </c>
      <c r="BM3" s="43" t="str">
        <f>CONCATENATE("(",BK3,") - ",BL3)</f>
        <v>(AK) - ALEUTIANS EAST</v>
      </c>
      <c r="BN3" s="76">
        <v>679650</v>
      </c>
      <c r="BQ3" s="38" t="s">
        <v>303</v>
      </c>
      <c r="BR3" s="37" t="s">
        <v>295</v>
      </c>
      <c r="BS3" s="78" t="str">
        <f>CONCATENATE("(",BR3,") - ",BQ3)</f>
        <v>(AK) - ALEUTIANS EAST</v>
      </c>
      <c r="BT3" s="79">
        <v>726525</v>
      </c>
      <c r="BW3" s="38" t="s">
        <v>294</v>
      </c>
      <c r="BX3" s="37" t="s">
        <v>295</v>
      </c>
      <c r="BY3" s="78"/>
      <c r="BZ3" s="80">
        <v>765600</v>
      </c>
      <c r="CC3" s="43" t="s">
        <v>304</v>
      </c>
      <c r="CD3" s="43" t="s">
        <v>294</v>
      </c>
      <c r="CE3" s="37" t="s">
        <v>295</v>
      </c>
      <c r="CF3" s="81" t="str">
        <f>CONCATENATE("(",CE3,") - ",CD3)</f>
        <v>(AK) - ALEUTIANS EAST BOROUGH</v>
      </c>
      <c r="CG3" s="59">
        <v>822375</v>
      </c>
      <c r="CH3" s="59"/>
      <c r="CI3" s="263" t="s">
        <v>294</v>
      </c>
      <c r="CJ3" s="264" t="s">
        <v>295</v>
      </c>
      <c r="CK3" s="265">
        <v>970800</v>
      </c>
      <c r="CM3" s="43" t="str">
        <f t="shared" ref="CM3:CM34" si="1">CONCATENATE("(",CJ3,") - ",CI3)</f>
        <v>(AK) - ALEUTIANS EAST BOROUGH</v>
      </c>
      <c r="CN3" s="269">
        <f t="shared" si="0"/>
        <v>970800</v>
      </c>
      <c r="CO3" s="269"/>
      <c r="CQ3" s="266" t="s">
        <v>305</v>
      </c>
      <c r="CR3" s="267" t="s">
        <v>295</v>
      </c>
      <c r="CS3" s="268">
        <v>1089300</v>
      </c>
      <c r="CV3" s="43" t="str">
        <f>CONCATENATE("(",CR2,") - ",CQ2)</f>
        <v>(AK) - ALEUTIANS EAST BOROUGH</v>
      </c>
      <c r="CW3" s="70">
        <f>CS2</f>
        <v>1089300</v>
      </c>
    </row>
    <row r="4" spans="1:101" ht="45.75" thickBot="1" x14ac:dyDescent="0.3">
      <c r="A4" s="66">
        <v>1.4E-2</v>
      </c>
      <c r="B4" s="67" t="s">
        <v>306</v>
      </c>
      <c r="C4" s="43" t="s">
        <v>307</v>
      </c>
      <c r="D4" s="44" t="s">
        <v>308</v>
      </c>
      <c r="E4" s="43">
        <f>E3*4</f>
        <v>548250</v>
      </c>
      <c r="F4" s="43" t="s">
        <v>309</v>
      </c>
      <c r="G4" s="58">
        <v>625500</v>
      </c>
      <c r="H4" s="58"/>
      <c r="I4" s="43" t="s">
        <v>298</v>
      </c>
      <c r="J4" s="68" t="s">
        <v>310</v>
      </c>
      <c r="K4" s="68" t="str">
        <f t="shared" ref="K4:K67" si="2">CONCATENATE("(",I4,") - ",J4)</f>
        <v xml:space="preserve">(AK ) - ALEUTIANS WEST </v>
      </c>
      <c r="L4" s="69">
        <v>625500</v>
      </c>
      <c r="M4" s="68" t="s">
        <v>300</v>
      </c>
      <c r="N4" s="58"/>
      <c r="R4" s="43" t="s">
        <v>295</v>
      </c>
      <c r="S4" s="43" t="s">
        <v>310</v>
      </c>
      <c r="T4" s="68" t="str">
        <f t="shared" ref="T4:T67" si="3">CONCATENATE("(",R4,") - ",S4)</f>
        <v xml:space="preserve">(AK) - ALEUTIANS WEST </v>
      </c>
      <c r="U4" s="70">
        <v>625500</v>
      </c>
      <c r="Y4" s="43" t="s">
        <v>295</v>
      </c>
      <c r="Z4" s="43" t="s">
        <v>310</v>
      </c>
      <c r="AA4" s="68" t="str">
        <f t="shared" ref="AA4:AA67" si="4">CONCATENATE("(",Y4,") - ",Z4)</f>
        <v xml:space="preserve">(AK) - ALEUTIANS WEST </v>
      </c>
      <c r="AB4" s="59">
        <v>625500</v>
      </c>
      <c r="AF4" s="68" t="s">
        <v>295</v>
      </c>
      <c r="AG4" s="68" t="s">
        <v>310</v>
      </c>
      <c r="AH4" s="68" t="str">
        <f t="shared" ref="AH4:AH67" si="5">CONCATENATE("(",AF4,") - ",AG4)</f>
        <v xml:space="preserve">(AK) - ALEUTIANS WEST </v>
      </c>
      <c r="AI4" s="71">
        <v>625500</v>
      </c>
      <c r="AK4" s="72" t="s">
        <v>295</v>
      </c>
      <c r="AL4" s="73" t="s">
        <v>311</v>
      </c>
      <c r="AM4" s="74" t="str">
        <f t="shared" ref="AM4:AM67" si="6">CONCATENATE("(",AK4,") - ",AL4)</f>
        <v>(AK) - ALEUTIANS WEST</v>
      </c>
      <c r="AN4" s="75">
        <v>625500</v>
      </c>
      <c r="AP4" s="72" t="s">
        <v>295</v>
      </c>
      <c r="AQ4" s="73" t="s">
        <v>311</v>
      </c>
      <c r="AR4" s="74" t="str">
        <f t="shared" ref="AR4:AR74" si="7">CONCATENATE("(",AP4,") - ",AQ4)</f>
        <v>(AK) - ALEUTIANS WEST</v>
      </c>
      <c r="AS4" s="75">
        <v>625500</v>
      </c>
      <c r="AU4" s="35" t="s">
        <v>295</v>
      </c>
      <c r="AV4" s="36" t="s">
        <v>311</v>
      </c>
      <c r="AW4" s="74" t="str">
        <f>CONCATENATE("(",AU4,") - ",AV4)</f>
        <v>(AK) - ALEUTIANS WEST</v>
      </c>
      <c r="AX4" s="76">
        <v>625500</v>
      </c>
      <c r="AZ4" s="37" t="s">
        <v>295</v>
      </c>
      <c r="BA4" s="38" t="s">
        <v>311</v>
      </c>
      <c r="BB4" s="74" t="str">
        <f>CONCATENATE("(",AZ4,") - ",BA4)</f>
        <v>(AK) - ALEUTIANS WEST</v>
      </c>
      <c r="BC4" s="76">
        <v>625500</v>
      </c>
      <c r="BE4" s="39" t="s">
        <v>295</v>
      </c>
      <c r="BF4" s="40" t="s">
        <v>311</v>
      </c>
      <c r="BG4" s="41" t="str">
        <f t="shared" ref="BG4:BG67" si="8">CONCATENATE("(",BE4,") - ",BF4)</f>
        <v>(AK) - ALEUTIANS WEST</v>
      </c>
      <c r="BH4" s="77">
        <v>636150</v>
      </c>
      <c r="BK4" s="37" t="s">
        <v>295</v>
      </c>
      <c r="BL4" s="38" t="s">
        <v>311</v>
      </c>
      <c r="BM4" s="43" t="str">
        <f>CONCATENATE("(",BK4,") - ",BL4)</f>
        <v>(AK) - ALEUTIANS WEST</v>
      </c>
      <c r="BN4" s="76">
        <v>679650</v>
      </c>
      <c r="BQ4" s="38" t="s">
        <v>311</v>
      </c>
      <c r="BR4" s="37" t="s">
        <v>295</v>
      </c>
      <c r="BS4" s="78" t="str">
        <f t="shared" ref="BS4:BS67" si="9">CONCATENATE("(",BR4,") - ",BQ4)</f>
        <v>(AK) - ALEUTIANS WEST</v>
      </c>
      <c r="BT4" s="79">
        <v>726525</v>
      </c>
      <c r="BW4" s="38" t="s">
        <v>305</v>
      </c>
      <c r="BX4" s="37" t="s">
        <v>295</v>
      </c>
      <c r="BY4" s="78" t="str">
        <f t="shared" ref="BY4:BY67" si="10">CONCATENATE("(",BX4,") - ",BW4)</f>
        <v>(AK) - ALEUTIANS WEST CENSUS AREA</v>
      </c>
      <c r="BZ4" s="80">
        <v>765600</v>
      </c>
      <c r="CC4" s="43" t="s">
        <v>304</v>
      </c>
      <c r="CD4" s="43" t="s">
        <v>305</v>
      </c>
      <c r="CE4" s="37" t="s">
        <v>295</v>
      </c>
      <c r="CF4" s="81" t="str">
        <f>CONCATENATE("(",CE4,") - ",CD4)</f>
        <v>(AK) - ALEUTIANS WEST CENSUS AREA</v>
      </c>
      <c r="CG4" s="59">
        <v>822375</v>
      </c>
      <c r="CH4" s="59"/>
      <c r="CI4" s="266" t="s">
        <v>305</v>
      </c>
      <c r="CJ4" s="267" t="s">
        <v>295</v>
      </c>
      <c r="CK4" s="268">
        <v>970800</v>
      </c>
      <c r="CM4" s="43" t="str">
        <f t="shared" si="1"/>
        <v>(AK) - ALEUTIANS WEST CENSUS AREA</v>
      </c>
      <c r="CN4" s="269">
        <f t="shared" si="0"/>
        <v>970800</v>
      </c>
      <c r="CO4" s="269"/>
      <c r="CQ4" s="263" t="s">
        <v>312</v>
      </c>
      <c r="CR4" s="264" t="s">
        <v>295</v>
      </c>
      <c r="CS4" s="265">
        <v>1089300</v>
      </c>
      <c r="CV4" s="43" t="str">
        <f t="shared" ref="CV4:CV67" si="11">CONCATENATE("(",CR3,") - ",CQ3)</f>
        <v>(AK) - ALEUTIANS WEST CENSUS AREA</v>
      </c>
      <c r="CW4" s="70">
        <f t="shared" ref="CW4:CW67" si="12">CS3</f>
        <v>1089300</v>
      </c>
    </row>
    <row r="5" spans="1:101" ht="16.5" thickBot="1" x14ac:dyDescent="0.3">
      <c r="A5" s="66">
        <v>1.6500000000000001E-2</v>
      </c>
      <c r="B5" s="67"/>
      <c r="F5" s="43" t="s">
        <v>313</v>
      </c>
      <c r="G5" s="58">
        <v>625500</v>
      </c>
      <c r="H5" s="58"/>
      <c r="I5" s="43" t="s">
        <v>298</v>
      </c>
      <c r="J5" s="68" t="s">
        <v>314</v>
      </c>
      <c r="K5" s="68" t="str">
        <f t="shared" si="2"/>
        <v xml:space="preserve">(AK ) - ANCHORAGE </v>
      </c>
      <c r="L5" s="69">
        <v>625500</v>
      </c>
      <c r="M5" s="68" t="s">
        <v>300</v>
      </c>
      <c r="N5" s="58"/>
      <c r="R5" s="43" t="s">
        <v>295</v>
      </c>
      <c r="S5" s="43" t="s">
        <v>314</v>
      </c>
      <c r="T5" s="68" t="str">
        <f t="shared" si="3"/>
        <v xml:space="preserve">(AK) - ANCHORAGE </v>
      </c>
      <c r="U5" s="70">
        <v>625500</v>
      </c>
      <c r="Y5" s="43" t="s">
        <v>295</v>
      </c>
      <c r="Z5" s="43" t="s">
        <v>314</v>
      </c>
      <c r="AA5" s="68" t="str">
        <f t="shared" si="4"/>
        <v xml:space="preserve">(AK) - ANCHORAGE </v>
      </c>
      <c r="AB5" s="59">
        <v>625500</v>
      </c>
      <c r="AF5" s="68" t="s">
        <v>295</v>
      </c>
      <c r="AG5" s="68" t="s">
        <v>314</v>
      </c>
      <c r="AH5" s="68" t="str">
        <f t="shared" si="5"/>
        <v xml:space="preserve">(AK) - ANCHORAGE </v>
      </c>
      <c r="AI5" s="71">
        <v>625500</v>
      </c>
      <c r="AK5" s="72" t="s">
        <v>295</v>
      </c>
      <c r="AL5" s="73" t="s">
        <v>315</v>
      </c>
      <c r="AM5" s="74" t="str">
        <f t="shared" si="6"/>
        <v>(AK) - ANCHORAGE MUNIC</v>
      </c>
      <c r="AN5" s="75">
        <v>625500</v>
      </c>
      <c r="AP5" s="72" t="s">
        <v>295</v>
      </c>
      <c r="AQ5" s="73" t="s">
        <v>315</v>
      </c>
      <c r="AR5" s="74" t="str">
        <f t="shared" si="7"/>
        <v>(AK) - ANCHORAGE MUNIC</v>
      </c>
      <c r="AS5" s="75">
        <v>625500</v>
      </c>
      <c r="AU5" s="35" t="s">
        <v>295</v>
      </c>
      <c r="AV5" s="36" t="s">
        <v>316</v>
      </c>
      <c r="AW5" s="74" t="str">
        <f t="shared" ref="AW5:AW68" si="13">CONCATENATE("(",AU5,") - ",AV5)</f>
        <v>(AK) - ANCHORAGE</v>
      </c>
      <c r="AX5" s="76">
        <v>625500</v>
      </c>
      <c r="AZ5" s="37" t="s">
        <v>295</v>
      </c>
      <c r="BA5" s="38" t="s">
        <v>316</v>
      </c>
      <c r="BB5" s="74" t="str">
        <f t="shared" ref="BB5:BB68" si="14">CONCATENATE("(",AZ5,") - ",BA5)</f>
        <v>(AK) - ANCHORAGE</v>
      </c>
      <c r="BC5" s="76">
        <v>625500</v>
      </c>
      <c r="BE5" s="39" t="s">
        <v>295</v>
      </c>
      <c r="BF5" s="40" t="s">
        <v>316</v>
      </c>
      <c r="BG5" s="41" t="str">
        <f t="shared" si="8"/>
        <v>(AK) - ANCHORAGE</v>
      </c>
      <c r="BH5" s="77">
        <v>636150</v>
      </c>
      <c r="BK5" s="37" t="s">
        <v>295</v>
      </c>
      <c r="BL5" s="38" t="s">
        <v>316</v>
      </c>
      <c r="BM5" s="43" t="str">
        <f t="shared" ref="BM5:BM68" si="15">CONCATENATE("(",BK5,") - ",BL5)</f>
        <v>(AK) - ANCHORAGE</v>
      </c>
      <c r="BN5" s="76">
        <v>679650</v>
      </c>
      <c r="BQ5" s="38" t="s">
        <v>316</v>
      </c>
      <c r="BR5" s="37" t="s">
        <v>295</v>
      </c>
      <c r="BS5" s="78" t="str">
        <f t="shared" si="9"/>
        <v>(AK) - ANCHORAGE</v>
      </c>
      <c r="BT5" s="79">
        <v>726525</v>
      </c>
      <c r="BW5" s="38" t="s">
        <v>312</v>
      </c>
      <c r="BX5" s="37" t="s">
        <v>295</v>
      </c>
      <c r="BY5" s="78" t="str">
        <f t="shared" si="10"/>
        <v>(AK) - ANCHORAGE MUNICIPALITY</v>
      </c>
      <c r="BZ5" s="80">
        <v>765600</v>
      </c>
      <c r="CC5" s="43" t="s">
        <v>304</v>
      </c>
      <c r="CD5" s="43" t="s">
        <v>312</v>
      </c>
      <c r="CE5" s="37" t="s">
        <v>295</v>
      </c>
      <c r="CF5" s="81" t="str">
        <f t="shared" ref="CF5:CF66" si="16">CONCATENATE("(",CE5,") - ",CD5)</f>
        <v>(AK) - ANCHORAGE MUNICIPALITY</v>
      </c>
      <c r="CG5" s="59">
        <v>822375</v>
      </c>
      <c r="CH5" s="59"/>
      <c r="CI5" s="263" t="s">
        <v>312</v>
      </c>
      <c r="CJ5" s="264" t="s">
        <v>295</v>
      </c>
      <c r="CK5" s="265">
        <v>970800</v>
      </c>
      <c r="CM5" s="43" t="str">
        <f t="shared" si="1"/>
        <v>(AK) - ANCHORAGE MUNICIPALITY</v>
      </c>
      <c r="CN5" s="269">
        <f t="shared" si="0"/>
        <v>970800</v>
      </c>
      <c r="CO5" s="269"/>
      <c r="CQ5" s="266" t="s">
        <v>317</v>
      </c>
      <c r="CR5" s="267" t="s">
        <v>295</v>
      </c>
      <c r="CS5" s="268">
        <v>1089300</v>
      </c>
      <c r="CV5" s="43" t="str">
        <f t="shared" si="11"/>
        <v>(AK) - ANCHORAGE MUNICIPALITY</v>
      </c>
      <c r="CW5" s="70">
        <f t="shared" si="12"/>
        <v>1089300</v>
      </c>
    </row>
    <row r="6" spans="1:101" ht="16.5" thickBot="1" x14ac:dyDescent="0.3">
      <c r="A6" s="66">
        <v>2.3E-2</v>
      </c>
      <c r="B6" s="67"/>
      <c r="F6" s="43" t="s">
        <v>318</v>
      </c>
      <c r="G6" s="58">
        <v>625500</v>
      </c>
      <c r="H6" s="58"/>
      <c r="I6" s="43" t="s">
        <v>298</v>
      </c>
      <c r="J6" s="68" t="s">
        <v>319</v>
      </c>
      <c r="K6" s="68" t="str">
        <f t="shared" si="2"/>
        <v xml:space="preserve">(AK ) - BETHEL </v>
      </c>
      <c r="L6" s="69">
        <v>625500</v>
      </c>
      <c r="M6" s="68" t="s">
        <v>300</v>
      </c>
      <c r="N6" s="58"/>
      <c r="R6" s="43" t="s">
        <v>295</v>
      </c>
      <c r="S6" s="43" t="s">
        <v>319</v>
      </c>
      <c r="T6" s="68" t="str">
        <f t="shared" si="3"/>
        <v xml:space="preserve">(AK) - BETHEL </v>
      </c>
      <c r="U6" s="70">
        <v>625500</v>
      </c>
      <c r="Y6" s="43" t="s">
        <v>295</v>
      </c>
      <c r="Z6" s="43" t="s">
        <v>319</v>
      </c>
      <c r="AA6" s="68" t="str">
        <f t="shared" si="4"/>
        <v xml:space="preserve">(AK) - BETHEL </v>
      </c>
      <c r="AB6" s="59">
        <v>625500</v>
      </c>
      <c r="AF6" s="68" t="s">
        <v>295</v>
      </c>
      <c r="AG6" s="68" t="s">
        <v>319</v>
      </c>
      <c r="AH6" s="68" t="str">
        <f t="shared" si="5"/>
        <v xml:space="preserve">(AK) - BETHEL </v>
      </c>
      <c r="AI6" s="71">
        <v>625500</v>
      </c>
      <c r="AK6" s="72" t="s">
        <v>295</v>
      </c>
      <c r="AL6" s="73" t="s">
        <v>320</v>
      </c>
      <c r="AM6" s="74" t="str">
        <f t="shared" si="6"/>
        <v>(AK) - BETHEL CENSUS A</v>
      </c>
      <c r="AN6" s="75">
        <v>625500</v>
      </c>
      <c r="AP6" s="72" t="s">
        <v>295</v>
      </c>
      <c r="AQ6" s="73" t="s">
        <v>320</v>
      </c>
      <c r="AR6" s="74" t="str">
        <f t="shared" si="7"/>
        <v>(AK) - BETHEL CENSUS A</v>
      </c>
      <c r="AS6" s="75">
        <v>625500</v>
      </c>
      <c r="AU6" s="35" t="s">
        <v>295</v>
      </c>
      <c r="AV6" s="36" t="s">
        <v>321</v>
      </c>
      <c r="AW6" s="74" t="str">
        <f t="shared" si="13"/>
        <v>(AK) - BETHEL</v>
      </c>
      <c r="AX6" s="76">
        <v>625500</v>
      </c>
      <c r="AZ6" s="37" t="s">
        <v>295</v>
      </c>
      <c r="BA6" s="38" t="s">
        <v>321</v>
      </c>
      <c r="BB6" s="74" t="str">
        <f t="shared" si="14"/>
        <v>(AK) - BETHEL</v>
      </c>
      <c r="BC6" s="76">
        <v>625500</v>
      </c>
      <c r="BE6" s="39" t="s">
        <v>295</v>
      </c>
      <c r="BF6" s="40" t="s">
        <v>321</v>
      </c>
      <c r="BG6" s="41" t="str">
        <f t="shared" si="8"/>
        <v>(AK) - BETHEL</v>
      </c>
      <c r="BH6" s="77">
        <v>636150</v>
      </c>
      <c r="BK6" s="37" t="s">
        <v>295</v>
      </c>
      <c r="BL6" s="38" t="s">
        <v>321</v>
      </c>
      <c r="BM6" s="43" t="str">
        <f t="shared" si="15"/>
        <v>(AK) - BETHEL</v>
      </c>
      <c r="BN6" s="76">
        <v>679650</v>
      </c>
      <c r="BQ6" s="38" t="s">
        <v>321</v>
      </c>
      <c r="BR6" s="37" t="s">
        <v>295</v>
      </c>
      <c r="BS6" s="78" t="str">
        <f t="shared" si="9"/>
        <v>(AK) - BETHEL</v>
      </c>
      <c r="BT6" s="79">
        <v>726525</v>
      </c>
      <c r="BW6" s="38" t="s">
        <v>317</v>
      </c>
      <c r="BX6" s="37" t="s">
        <v>295</v>
      </c>
      <c r="BY6" s="78" t="str">
        <f t="shared" si="10"/>
        <v>(AK) - BETHEL CENSUS AREA</v>
      </c>
      <c r="BZ6" s="80">
        <v>765600</v>
      </c>
      <c r="CC6" s="43" t="s">
        <v>304</v>
      </c>
      <c r="CD6" s="43" t="s">
        <v>317</v>
      </c>
      <c r="CE6" s="37" t="s">
        <v>295</v>
      </c>
      <c r="CF6" s="81" t="str">
        <f t="shared" si="16"/>
        <v>(AK) - BETHEL CENSUS AREA</v>
      </c>
      <c r="CG6" s="59">
        <v>822375</v>
      </c>
      <c r="CH6" s="59"/>
      <c r="CI6" s="266" t="s">
        <v>317</v>
      </c>
      <c r="CJ6" s="267" t="s">
        <v>295</v>
      </c>
      <c r="CK6" s="268">
        <v>970800</v>
      </c>
      <c r="CM6" s="43" t="str">
        <f t="shared" si="1"/>
        <v>(AK) - BETHEL CENSUS AREA</v>
      </c>
      <c r="CN6" s="269">
        <f t="shared" si="0"/>
        <v>970800</v>
      </c>
      <c r="CO6" s="269"/>
      <c r="CQ6" s="263" t="s">
        <v>322</v>
      </c>
      <c r="CR6" s="264" t="s">
        <v>295</v>
      </c>
      <c r="CS6" s="265">
        <v>1089300</v>
      </c>
      <c r="CV6" s="43" t="str">
        <f t="shared" si="11"/>
        <v>(AK) - BETHEL CENSUS AREA</v>
      </c>
      <c r="CW6" s="70">
        <f t="shared" si="12"/>
        <v>1089300</v>
      </c>
    </row>
    <row r="7" spans="1:101" ht="16.5" thickBot="1" x14ac:dyDescent="0.3">
      <c r="A7" s="66">
        <v>3.5999999999999997E-2</v>
      </c>
      <c r="B7" s="67"/>
      <c r="F7" s="43" t="s">
        <v>323</v>
      </c>
      <c r="G7" s="58">
        <v>625500</v>
      </c>
      <c r="H7" s="58"/>
      <c r="I7" s="43" t="s">
        <v>298</v>
      </c>
      <c r="J7" s="68" t="s">
        <v>324</v>
      </c>
      <c r="K7" s="68" t="str">
        <f t="shared" si="2"/>
        <v xml:space="preserve">(AK ) - BRISTOL BAY </v>
      </c>
      <c r="L7" s="69">
        <v>625500</v>
      </c>
      <c r="M7" s="68" t="s">
        <v>300</v>
      </c>
      <c r="N7" s="58"/>
      <c r="R7" s="43" t="s">
        <v>295</v>
      </c>
      <c r="S7" s="43" t="s">
        <v>324</v>
      </c>
      <c r="T7" s="68" t="str">
        <f t="shared" si="3"/>
        <v xml:space="preserve">(AK) - BRISTOL BAY </v>
      </c>
      <c r="U7" s="70">
        <v>625500</v>
      </c>
      <c r="Y7" s="43" t="s">
        <v>295</v>
      </c>
      <c r="Z7" s="43" t="s">
        <v>324</v>
      </c>
      <c r="AA7" s="68" t="str">
        <f t="shared" si="4"/>
        <v xml:space="preserve">(AK) - BRISTOL BAY </v>
      </c>
      <c r="AB7" s="59">
        <v>625500</v>
      </c>
      <c r="AF7" s="68" t="s">
        <v>295</v>
      </c>
      <c r="AG7" s="68" t="s">
        <v>324</v>
      </c>
      <c r="AH7" s="68" t="str">
        <f t="shared" si="5"/>
        <v xml:space="preserve">(AK) - BRISTOL BAY </v>
      </c>
      <c r="AI7" s="71">
        <v>625500</v>
      </c>
      <c r="AK7" s="72" t="s">
        <v>295</v>
      </c>
      <c r="AL7" s="73" t="s">
        <v>325</v>
      </c>
      <c r="AM7" s="74" t="str">
        <f t="shared" si="6"/>
        <v>(AK) - BRISTOL BAY BOR</v>
      </c>
      <c r="AN7" s="75">
        <v>625500</v>
      </c>
      <c r="AP7" s="72" t="s">
        <v>295</v>
      </c>
      <c r="AQ7" s="73" t="s">
        <v>325</v>
      </c>
      <c r="AR7" s="74" t="str">
        <f t="shared" si="7"/>
        <v>(AK) - BRISTOL BAY BOR</v>
      </c>
      <c r="AS7" s="75">
        <v>625500</v>
      </c>
      <c r="AU7" s="35" t="s">
        <v>295</v>
      </c>
      <c r="AV7" s="36" t="s">
        <v>326</v>
      </c>
      <c r="AW7" s="74" t="str">
        <f t="shared" si="13"/>
        <v>(AK) - BRISTOL BAY</v>
      </c>
      <c r="AX7" s="76">
        <v>625500</v>
      </c>
      <c r="AZ7" s="37" t="s">
        <v>295</v>
      </c>
      <c r="BA7" s="38" t="s">
        <v>326</v>
      </c>
      <c r="BB7" s="74" t="str">
        <f t="shared" si="14"/>
        <v>(AK) - BRISTOL BAY</v>
      </c>
      <c r="BC7" s="76">
        <v>625500</v>
      </c>
      <c r="BE7" s="39" t="s">
        <v>295</v>
      </c>
      <c r="BF7" s="40" t="s">
        <v>326</v>
      </c>
      <c r="BG7" s="41" t="str">
        <f t="shared" si="8"/>
        <v>(AK) - BRISTOL BAY</v>
      </c>
      <c r="BH7" s="77">
        <v>636150</v>
      </c>
      <c r="BK7" s="37" t="s">
        <v>295</v>
      </c>
      <c r="BL7" s="38" t="s">
        <v>326</v>
      </c>
      <c r="BM7" s="43" t="str">
        <f t="shared" si="15"/>
        <v>(AK) - BRISTOL BAY</v>
      </c>
      <c r="BN7" s="76">
        <v>679650</v>
      </c>
      <c r="BQ7" s="38" t="s">
        <v>326</v>
      </c>
      <c r="BR7" s="37" t="s">
        <v>295</v>
      </c>
      <c r="BS7" s="78" t="str">
        <f t="shared" si="9"/>
        <v>(AK) - BRISTOL BAY</v>
      </c>
      <c r="BT7" s="79">
        <v>726525</v>
      </c>
      <c r="BW7" s="38" t="s">
        <v>322</v>
      </c>
      <c r="BX7" s="37" t="s">
        <v>295</v>
      </c>
      <c r="BY7" s="78" t="str">
        <f t="shared" si="10"/>
        <v>(AK) - BRISTOL BAY BOROUGH</v>
      </c>
      <c r="BZ7" s="80">
        <v>765600</v>
      </c>
      <c r="CC7" s="43" t="s">
        <v>304</v>
      </c>
      <c r="CD7" s="43" t="s">
        <v>322</v>
      </c>
      <c r="CE7" s="37" t="s">
        <v>295</v>
      </c>
      <c r="CF7" s="81" t="str">
        <f t="shared" si="16"/>
        <v>(AK) - BRISTOL BAY BOROUGH</v>
      </c>
      <c r="CG7" s="59">
        <v>822375</v>
      </c>
      <c r="CH7" s="59"/>
      <c r="CI7" s="263" t="s">
        <v>322</v>
      </c>
      <c r="CJ7" s="264" t="s">
        <v>295</v>
      </c>
      <c r="CK7" s="265">
        <v>970800</v>
      </c>
      <c r="CM7" s="43" t="str">
        <f t="shared" si="1"/>
        <v>(AK) - BRISTOL BAY BOROUGH</v>
      </c>
      <c r="CN7" s="269">
        <f t="shared" si="0"/>
        <v>970800</v>
      </c>
      <c r="CO7" s="269"/>
      <c r="CQ7" s="266" t="s">
        <v>327</v>
      </c>
      <c r="CR7" s="267" t="s">
        <v>295</v>
      </c>
      <c r="CS7" s="268">
        <v>1089300</v>
      </c>
      <c r="CV7" s="43" t="str">
        <f t="shared" si="11"/>
        <v>(AK) - BRISTOL BAY BOROUGH</v>
      </c>
      <c r="CW7" s="70">
        <f t="shared" si="12"/>
        <v>1089300</v>
      </c>
    </row>
    <row r="8" spans="1:101" ht="15.75" thickBot="1" x14ac:dyDescent="0.3">
      <c r="B8" s="74"/>
      <c r="C8" s="43">
        <v>0</v>
      </c>
      <c r="F8" s="43" t="s">
        <v>328</v>
      </c>
      <c r="G8" s="58">
        <v>625500</v>
      </c>
      <c r="H8" s="58"/>
      <c r="I8" s="43" t="s">
        <v>298</v>
      </c>
      <c r="J8" s="68" t="s">
        <v>329</v>
      </c>
      <c r="K8" s="68" t="str">
        <f t="shared" si="2"/>
        <v xml:space="preserve">(AK ) - DENALI </v>
      </c>
      <c r="L8" s="69">
        <v>625500</v>
      </c>
      <c r="M8" s="68" t="s">
        <v>300</v>
      </c>
      <c r="N8" s="58"/>
      <c r="R8" s="43" t="s">
        <v>295</v>
      </c>
      <c r="S8" s="43" t="s">
        <v>329</v>
      </c>
      <c r="T8" s="68" t="str">
        <f t="shared" si="3"/>
        <v xml:space="preserve">(AK) - DENALI </v>
      </c>
      <c r="U8" s="70">
        <v>625500</v>
      </c>
      <c r="Y8" s="43" t="s">
        <v>295</v>
      </c>
      <c r="Z8" s="43" t="s">
        <v>329</v>
      </c>
      <c r="AA8" s="68" t="str">
        <f t="shared" si="4"/>
        <v xml:space="preserve">(AK) - DENALI </v>
      </c>
      <c r="AB8" s="59">
        <v>625500</v>
      </c>
      <c r="AF8" s="68" t="s">
        <v>295</v>
      </c>
      <c r="AG8" s="68" t="s">
        <v>329</v>
      </c>
      <c r="AH8" s="68" t="str">
        <f t="shared" si="5"/>
        <v xml:space="preserve">(AK) - DENALI </v>
      </c>
      <c r="AI8" s="71">
        <v>625500</v>
      </c>
      <c r="AK8" s="72" t="s">
        <v>295</v>
      </c>
      <c r="AL8" s="73" t="s">
        <v>330</v>
      </c>
      <c r="AM8" s="74" t="str">
        <f t="shared" si="6"/>
        <v>(AK) - DENALI BOROUGH</v>
      </c>
      <c r="AN8" s="75">
        <v>625500</v>
      </c>
      <c r="AP8" s="72" t="s">
        <v>295</v>
      </c>
      <c r="AQ8" s="73" t="s">
        <v>330</v>
      </c>
      <c r="AR8" s="74" t="str">
        <f t="shared" si="7"/>
        <v>(AK) - DENALI BOROUGH</v>
      </c>
      <c r="AS8" s="75">
        <v>625500</v>
      </c>
      <c r="AU8" s="35" t="s">
        <v>295</v>
      </c>
      <c r="AV8" s="36" t="s">
        <v>331</v>
      </c>
      <c r="AW8" s="74" t="str">
        <f t="shared" si="13"/>
        <v>(AK) - DENALI</v>
      </c>
      <c r="AX8" s="76">
        <v>625500</v>
      </c>
      <c r="AZ8" s="37" t="s">
        <v>295</v>
      </c>
      <c r="BA8" s="38" t="s">
        <v>331</v>
      </c>
      <c r="BB8" s="74" t="str">
        <f t="shared" si="14"/>
        <v>(AK) - DENALI</v>
      </c>
      <c r="BC8" s="76">
        <v>625500</v>
      </c>
      <c r="BE8" s="39" t="s">
        <v>295</v>
      </c>
      <c r="BF8" s="40" t="s">
        <v>331</v>
      </c>
      <c r="BG8" s="41" t="str">
        <f t="shared" si="8"/>
        <v>(AK) - DENALI</v>
      </c>
      <c r="BH8" s="77">
        <v>636150</v>
      </c>
      <c r="BK8" s="37" t="s">
        <v>295</v>
      </c>
      <c r="BL8" s="38" t="s">
        <v>331</v>
      </c>
      <c r="BM8" s="43" t="str">
        <f t="shared" si="15"/>
        <v>(AK) - DENALI</v>
      </c>
      <c r="BN8" s="76">
        <v>679650</v>
      </c>
      <c r="BQ8" s="38" t="s">
        <v>331</v>
      </c>
      <c r="BR8" s="37" t="s">
        <v>295</v>
      </c>
      <c r="BS8" s="78" t="str">
        <f t="shared" si="9"/>
        <v>(AK) - DENALI</v>
      </c>
      <c r="BT8" s="79">
        <v>726525</v>
      </c>
      <c r="BW8" s="38" t="s">
        <v>330</v>
      </c>
      <c r="BX8" s="37" t="s">
        <v>295</v>
      </c>
      <c r="BY8" s="78" t="str">
        <f t="shared" si="10"/>
        <v>(AK) - DENALI BOROUGH</v>
      </c>
      <c r="BZ8" s="80">
        <v>765600</v>
      </c>
      <c r="CC8" s="43" t="s">
        <v>304</v>
      </c>
      <c r="CD8" s="43" t="s">
        <v>330</v>
      </c>
      <c r="CE8" s="37" t="s">
        <v>295</v>
      </c>
      <c r="CF8" s="81" t="str">
        <f t="shared" si="16"/>
        <v>(AK) - DENALI BOROUGH</v>
      </c>
      <c r="CG8" s="59">
        <v>822375</v>
      </c>
      <c r="CH8" s="59"/>
      <c r="CI8" s="266" t="s">
        <v>330</v>
      </c>
      <c r="CJ8" s="267" t="s">
        <v>295</v>
      </c>
      <c r="CK8" s="268">
        <v>970800</v>
      </c>
      <c r="CM8" s="43" t="str">
        <f t="shared" si="1"/>
        <v>(AK) - DENALI BOROUGH</v>
      </c>
      <c r="CN8" s="269">
        <f t="shared" si="0"/>
        <v>970800</v>
      </c>
      <c r="CO8" s="269"/>
      <c r="CQ8" s="263" t="s">
        <v>332</v>
      </c>
      <c r="CR8" s="264" t="s">
        <v>295</v>
      </c>
      <c r="CS8" s="265">
        <v>1089300</v>
      </c>
      <c r="CV8" s="43" t="str">
        <f t="shared" si="11"/>
        <v>(AK) - CHUGACH CENSUS AREA</v>
      </c>
      <c r="CW8" s="70">
        <f t="shared" si="12"/>
        <v>1089300</v>
      </c>
    </row>
    <row r="9" spans="1:101" ht="15.75" thickBot="1" x14ac:dyDescent="0.3">
      <c r="A9" s="74" t="s">
        <v>333</v>
      </c>
      <c r="C9" s="43">
        <v>0</v>
      </c>
      <c r="F9" s="43" t="s">
        <v>334</v>
      </c>
      <c r="G9" s="58">
        <v>625500</v>
      </c>
      <c r="H9" s="58"/>
      <c r="I9" s="43" t="s">
        <v>298</v>
      </c>
      <c r="J9" s="68" t="s">
        <v>335</v>
      </c>
      <c r="K9" s="68" t="str">
        <f t="shared" si="2"/>
        <v>(AK ) - DILLINGHAM</v>
      </c>
      <c r="L9" s="69">
        <v>625500</v>
      </c>
      <c r="M9" s="68" t="s">
        <v>300</v>
      </c>
      <c r="N9" s="58"/>
      <c r="R9" s="43" t="s">
        <v>295</v>
      </c>
      <c r="S9" s="43" t="s">
        <v>336</v>
      </c>
      <c r="T9" s="68" t="str">
        <f t="shared" si="3"/>
        <v xml:space="preserve">(AK) - DILLINGHAM </v>
      </c>
      <c r="U9" s="70">
        <v>625500</v>
      </c>
      <c r="Y9" s="43" t="s">
        <v>295</v>
      </c>
      <c r="Z9" s="43" t="s">
        <v>336</v>
      </c>
      <c r="AA9" s="68" t="str">
        <f t="shared" si="4"/>
        <v xml:space="preserve">(AK) - DILLINGHAM </v>
      </c>
      <c r="AB9" s="59">
        <v>625500</v>
      </c>
      <c r="AF9" s="68" t="s">
        <v>295</v>
      </c>
      <c r="AG9" s="68" t="s">
        <v>336</v>
      </c>
      <c r="AH9" s="68" t="str">
        <f t="shared" si="5"/>
        <v xml:space="preserve">(AK) - DILLINGHAM </v>
      </c>
      <c r="AI9" s="71">
        <v>625500</v>
      </c>
      <c r="AK9" s="72" t="s">
        <v>295</v>
      </c>
      <c r="AL9" s="73" t="s">
        <v>337</v>
      </c>
      <c r="AM9" s="74" t="str">
        <f t="shared" si="6"/>
        <v>(AK) - DILLINGHAM CENS</v>
      </c>
      <c r="AN9" s="75">
        <v>625500</v>
      </c>
      <c r="AP9" s="72" t="s">
        <v>295</v>
      </c>
      <c r="AQ9" s="73" t="s">
        <v>337</v>
      </c>
      <c r="AR9" s="74" t="str">
        <f t="shared" si="7"/>
        <v>(AK) - DILLINGHAM CENS</v>
      </c>
      <c r="AS9" s="75">
        <v>625500</v>
      </c>
      <c r="AU9" s="35" t="s">
        <v>295</v>
      </c>
      <c r="AV9" s="36" t="s">
        <v>335</v>
      </c>
      <c r="AW9" s="74" t="str">
        <f t="shared" si="13"/>
        <v>(AK) - DILLINGHAM</v>
      </c>
      <c r="AX9" s="76">
        <v>625500</v>
      </c>
      <c r="AZ9" s="37" t="s">
        <v>295</v>
      </c>
      <c r="BA9" s="38" t="s">
        <v>335</v>
      </c>
      <c r="BB9" s="74" t="str">
        <f t="shared" si="14"/>
        <v>(AK) - DILLINGHAM</v>
      </c>
      <c r="BC9" s="76">
        <v>625500</v>
      </c>
      <c r="BE9" s="39" t="s">
        <v>295</v>
      </c>
      <c r="BF9" s="40" t="s">
        <v>335</v>
      </c>
      <c r="BG9" s="41" t="str">
        <f t="shared" si="8"/>
        <v>(AK) - DILLINGHAM</v>
      </c>
      <c r="BH9" s="77">
        <v>636150</v>
      </c>
      <c r="BK9" s="37" t="s">
        <v>295</v>
      </c>
      <c r="BL9" s="38" t="s">
        <v>335</v>
      </c>
      <c r="BM9" s="43" t="str">
        <f t="shared" si="15"/>
        <v>(AK) - DILLINGHAM</v>
      </c>
      <c r="BN9" s="76">
        <v>679650</v>
      </c>
      <c r="BQ9" s="38" t="s">
        <v>335</v>
      </c>
      <c r="BR9" s="37" t="s">
        <v>295</v>
      </c>
      <c r="BS9" s="78" t="str">
        <f t="shared" si="9"/>
        <v>(AK) - DILLINGHAM</v>
      </c>
      <c r="BT9" s="79">
        <v>726525</v>
      </c>
      <c r="BW9" s="38" t="s">
        <v>338</v>
      </c>
      <c r="BX9" s="37" t="s">
        <v>295</v>
      </c>
      <c r="BY9" s="78" t="str">
        <f t="shared" si="10"/>
        <v>(AK) - DILLINGHAM CENSUS AREA</v>
      </c>
      <c r="BZ9" s="80">
        <v>765600</v>
      </c>
      <c r="CC9" s="43" t="s">
        <v>304</v>
      </c>
      <c r="CD9" s="43" t="s">
        <v>338</v>
      </c>
      <c r="CE9" s="37" t="s">
        <v>295</v>
      </c>
      <c r="CF9" s="81" t="str">
        <f t="shared" si="16"/>
        <v>(AK) - DILLINGHAM CENSUS AREA</v>
      </c>
      <c r="CG9" s="59">
        <v>822375</v>
      </c>
      <c r="CH9" s="59"/>
      <c r="CI9" s="263" t="s">
        <v>338</v>
      </c>
      <c r="CJ9" s="264" t="s">
        <v>295</v>
      </c>
      <c r="CK9" s="265">
        <v>970800</v>
      </c>
      <c r="CM9" s="43" t="str">
        <f t="shared" si="1"/>
        <v>(AK) - DILLINGHAM CENSUS AREA</v>
      </c>
      <c r="CN9" s="269">
        <f t="shared" si="0"/>
        <v>970800</v>
      </c>
      <c r="CO9" s="269"/>
      <c r="CQ9" s="266" t="s">
        <v>330</v>
      </c>
      <c r="CR9" s="267" t="s">
        <v>295</v>
      </c>
      <c r="CS9" s="268">
        <v>1089300</v>
      </c>
      <c r="CV9" s="43" t="str">
        <f t="shared" si="11"/>
        <v>(AK) - COPPER RIVER CENSUS AREA</v>
      </c>
      <c r="CW9" s="70">
        <f t="shared" si="12"/>
        <v>1089300</v>
      </c>
    </row>
    <row r="10" spans="1:101" ht="15.75" thickBot="1" x14ac:dyDescent="0.3">
      <c r="A10" s="43" t="s">
        <v>339</v>
      </c>
      <c r="C10" s="43">
        <v>0</v>
      </c>
      <c r="F10" s="43" t="s">
        <v>340</v>
      </c>
      <c r="G10" s="58">
        <v>625500</v>
      </c>
      <c r="H10" s="58"/>
      <c r="I10" s="43" t="s">
        <v>298</v>
      </c>
      <c r="J10" s="68" t="s">
        <v>341</v>
      </c>
      <c r="K10" s="68" t="str">
        <f t="shared" si="2"/>
        <v xml:space="preserve">(AK ) - FAIRBANKS NORTH </v>
      </c>
      <c r="L10" s="69">
        <v>625500</v>
      </c>
      <c r="M10" s="68" t="s">
        <v>300</v>
      </c>
      <c r="N10" s="58"/>
      <c r="R10" s="43" t="s">
        <v>295</v>
      </c>
      <c r="S10" s="43" t="s">
        <v>341</v>
      </c>
      <c r="T10" s="68" t="str">
        <f t="shared" si="3"/>
        <v xml:space="preserve">(AK) - FAIRBANKS NORTH </v>
      </c>
      <c r="U10" s="70">
        <v>625500</v>
      </c>
      <c r="Y10" s="43" t="s">
        <v>295</v>
      </c>
      <c r="Z10" s="43" t="s">
        <v>341</v>
      </c>
      <c r="AA10" s="68" t="str">
        <f t="shared" si="4"/>
        <v xml:space="preserve">(AK) - FAIRBANKS NORTH </v>
      </c>
      <c r="AB10" s="59">
        <v>625500</v>
      </c>
      <c r="AF10" s="68" t="s">
        <v>295</v>
      </c>
      <c r="AG10" s="68" t="s">
        <v>341</v>
      </c>
      <c r="AH10" s="68" t="str">
        <f t="shared" si="5"/>
        <v xml:space="preserve">(AK) - FAIRBANKS NORTH </v>
      </c>
      <c r="AI10" s="71">
        <v>625500</v>
      </c>
      <c r="AK10" s="72" t="s">
        <v>295</v>
      </c>
      <c r="AL10" s="73" t="s">
        <v>342</v>
      </c>
      <c r="AM10" s="74" t="str">
        <f t="shared" si="6"/>
        <v>(AK) - FAIRBANKS NORTH</v>
      </c>
      <c r="AN10" s="75">
        <v>625500</v>
      </c>
      <c r="AP10" s="72" t="s">
        <v>295</v>
      </c>
      <c r="AQ10" s="73" t="s">
        <v>342</v>
      </c>
      <c r="AR10" s="74" t="str">
        <f t="shared" si="7"/>
        <v>(AK) - FAIRBANKS NORTH</v>
      </c>
      <c r="AS10" s="75">
        <v>625500</v>
      </c>
      <c r="AU10" s="35" t="s">
        <v>295</v>
      </c>
      <c r="AV10" s="36" t="s">
        <v>342</v>
      </c>
      <c r="AW10" s="74" t="str">
        <f t="shared" si="13"/>
        <v>(AK) - FAIRBANKS NORTH</v>
      </c>
      <c r="AX10" s="76">
        <v>625500</v>
      </c>
      <c r="AZ10" s="37" t="s">
        <v>295</v>
      </c>
      <c r="BA10" s="38" t="s">
        <v>342</v>
      </c>
      <c r="BB10" s="74" t="str">
        <f t="shared" si="14"/>
        <v>(AK) - FAIRBANKS NORTH</v>
      </c>
      <c r="BC10" s="76">
        <v>625500</v>
      </c>
      <c r="BE10" s="39" t="s">
        <v>295</v>
      </c>
      <c r="BF10" s="40" t="s">
        <v>342</v>
      </c>
      <c r="BG10" s="41" t="str">
        <f t="shared" si="8"/>
        <v>(AK) - FAIRBANKS NORTH</v>
      </c>
      <c r="BH10" s="77">
        <v>636150</v>
      </c>
      <c r="BK10" s="37" t="s">
        <v>295</v>
      </c>
      <c r="BL10" s="38" t="s">
        <v>342</v>
      </c>
      <c r="BM10" s="43" t="str">
        <f t="shared" si="15"/>
        <v>(AK) - FAIRBANKS NORTH</v>
      </c>
      <c r="BN10" s="76">
        <v>679650</v>
      </c>
      <c r="BQ10" s="38" t="s">
        <v>342</v>
      </c>
      <c r="BR10" s="37" t="s">
        <v>295</v>
      </c>
      <c r="BS10" s="78" t="str">
        <f t="shared" si="9"/>
        <v>(AK) - FAIRBANKS NORTH</v>
      </c>
      <c r="BT10" s="79">
        <v>726525</v>
      </c>
      <c r="BW10" s="38" t="s">
        <v>343</v>
      </c>
      <c r="BX10" s="37" t="s">
        <v>295</v>
      </c>
      <c r="BY10" s="78" t="str">
        <f t="shared" si="10"/>
        <v>(AK) - FAIRBANKS NORTH STAR BOROUGH</v>
      </c>
      <c r="BZ10" s="80">
        <v>765600</v>
      </c>
      <c r="CC10" s="43" t="s">
        <v>304</v>
      </c>
      <c r="CD10" s="43" t="s">
        <v>343</v>
      </c>
      <c r="CE10" s="37" t="s">
        <v>295</v>
      </c>
      <c r="CF10" s="81" t="str">
        <f t="shared" si="16"/>
        <v>(AK) - FAIRBANKS NORTH STAR BOROUGH</v>
      </c>
      <c r="CG10" s="59">
        <v>822375</v>
      </c>
      <c r="CH10" s="59"/>
      <c r="CI10" s="266" t="s">
        <v>343</v>
      </c>
      <c r="CJ10" s="267" t="s">
        <v>295</v>
      </c>
      <c r="CK10" s="268">
        <v>970800</v>
      </c>
      <c r="CM10" s="43" t="str">
        <f t="shared" si="1"/>
        <v>(AK) - FAIRBANKS NORTH STAR BOROUGH</v>
      </c>
      <c r="CN10" s="269">
        <f t="shared" si="0"/>
        <v>970800</v>
      </c>
      <c r="CO10" s="269"/>
      <c r="CQ10" s="263" t="s">
        <v>338</v>
      </c>
      <c r="CR10" s="264" t="s">
        <v>295</v>
      </c>
      <c r="CS10" s="265">
        <v>1089300</v>
      </c>
      <c r="CV10" s="43" t="str">
        <f t="shared" si="11"/>
        <v>(AK) - DENALI BOROUGH</v>
      </c>
      <c r="CW10" s="70">
        <f t="shared" si="12"/>
        <v>1089300</v>
      </c>
    </row>
    <row r="11" spans="1:101" ht="15.75" thickBot="1" x14ac:dyDescent="0.3">
      <c r="A11" s="43" t="s">
        <v>344</v>
      </c>
      <c r="C11" s="43">
        <v>0</v>
      </c>
      <c r="F11" s="43" t="s">
        <v>345</v>
      </c>
      <c r="G11" s="58">
        <v>625500</v>
      </c>
      <c r="H11" s="58"/>
      <c r="I11" s="43" t="s">
        <v>298</v>
      </c>
      <c r="J11" s="68" t="s">
        <v>346</v>
      </c>
      <c r="K11" s="68" t="str">
        <f t="shared" si="2"/>
        <v xml:space="preserve">(AK ) - HAINES </v>
      </c>
      <c r="L11" s="69">
        <v>625500</v>
      </c>
      <c r="M11" s="68" t="s">
        <v>300</v>
      </c>
      <c r="N11" s="58"/>
      <c r="R11" s="43" t="s">
        <v>295</v>
      </c>
      <c r="S11" s="43" t="s">
        <v>346</v>
      </c>
      <c r="T11" s="68" t="str">
        <f t="shared" si="3"/>
        <v xml:space="preserve">(AK) - HAINES </v>
      </c>
      <c r="U11" s="70">
        <v>625500</v>
      </c>
      <c r="Y11" s="43" t="s">
        <v>295</v>
      </c>
      <c r="Z11" s="43" t="s">
        <v>346</v>
      </c>
      <c r="AA11" s="68" t="str">
        <f t="shared" si="4"/>
        <v xml:space="preserve">(AK) - HAINES </v>
      </c>
      <c r="AB11" s="59">
        <v>625500</v>
      </c>
      <c r="AF11" s="68" t="s">
        <v>295</v>
      </c>
      <c r="AG11" s="68" t="s">
        <v>346</v>
      </c>
      <c r="AH11" s="68" t="str">
        <f t="shared" si="5"/>
        <v xml:space="preserve">(AK) - HAINES </v>
      </c>
      <c r="AI11" s="71">
        <v>625500</v>
      </c>
      <c r="AK11" s="72" t="s">
        <v>295</v>
      </c>
      <c r="AL11" s="73" t="s">
        <v>347</v>
      </c>
      <c r="AM11" s="74" t="str">
        <f t="shared" si="6"/>
        <v>(AK) - HAINES BOROUGH</v>
      </c>
      <c r="AN11" s="75">
        <v>625500</v>
      </c>
      <c r="AP11" s="72" t="s">
        <v>295</v>
      </c>
      <c r="AQ11" s="73" t="s">
        <v>347</v>
      </c>
      <c r="AR11" s="74" t="str">
        <f t="shared" si="7"/>
        <v>(AK) - HAINES BOROUGH</v>
      </c>
      <c r="AS11" s="75">
        <v>625500</v>
      </c>
      <c r="AU11" s="35" t="s">
        <v>295</v>
      </c>
      <c r="AV11" s="36" t="s">
        <v>348</v>
      </c>
      <c r="AW11" s="74" t="str">
        <f t="shared" si="13"/>
        <v>(AK) - HAINES</v>
      </c>
      <c r="AX11" s="76">
        <v>625500</v>
      </c>
      <c r="AZ11" s="37" t="s">
        <v>295</v>
      </c>
      <c r="BA11" s="38" t="s">
        <v>348</v>
      </c>
      <c r="BB11" s="74" t="str">
        <f t="shared" si="14"/>
        <v>(AK) - HAINES</v>
      </c>
      <c r="BC11" s="76">
        <v>625500</v>
      </c>
      <c r="BE11" s="39" t="s">
        <v>295</v>
      </c>
      <c r="BF11" s="40" t="s">
        <v>348</v>
      </c>
      <c r="BG11" s="41" t="str">
        <f t="shared" si="8"/>
        <v>(AK) - HAINES</v>
      </c>
      <c r="BH11" s="77">
        <v>636150</v>
      </c>
      <c r="BK11" s="37" t="s">
        <v>295</v>
      </c>
      <c r="BL11" s="38" t="s">
        <v>348</v>
      </c>
      <c r="BM11" s="43" t="str">
        <f t="shared" si="15"/>
        <v>(AK) - HAINES</v>
      </c>
      <c r="BN11" s="76">
        <v>679650</v>
      </c>
      <c r="BQ11" s="38" t="s">
        <v>348</v>
      </c>
      <c r="BR11" s="37" t="s">
        <v>295</v>
      </c>
      <c r="BS11" s="78" t="str">
        <f t="shared" si="9"/>
        <v>(AK) - HAINES</v>
      </c>
      <c r="BT11" s="79">
        <v>726525</v>
      </c>
      <c r="BW11" s="38" t="s">
        <v>347</v>
      </c>
      <c r="BX11" s="37" t="s">
        <v>295</v>
      </c>
      <c r="BY11" s="78" t="str">
        <f t="shared" si="10"/>
        <v>(AK) - HAINES BOROUGH</v>
      </c>
      <c r="BZ11" s="80">
        <v>765600</v>
      </c>
      <c r="CC11" s="43" t="s">
        <v>304</v>
      </c>
      <c r="CD11" s="43" t="s">
        <v>347</v>
      </c>
      <c r="CE11" s="37" t="s">
        <v>295</v>
      </c>
      <c r="CF11" s="81" t="str">
        <f t="shared" si="16"/>
        <v>(AK) - HAINES BOROUGH</v>
      </c>
      <c r="CG11" s="59">
        <v>822375</v>
      </c>
      <c r="CH11" s="59"/>
      <c r="CI11" s="263" t="s">
        <v>347</v>
      </c>
      <c r="CJ11" s="264" t="s">
        <v>295</v>
      </c>
      <c r="CK11" s="265">
        <v>970800</v>
      </c>
      <c r="CM11" s="43" t="str">
        <f t="shared" si="1"/>
        <v>(AK) - HAINES BOROUGH</v>
      </c>
      <c r="CN11" s="269">
        <f t="shared" si="0"/>
        <v>970800</v>
      </c>
      <c r="CO11" s="269"/>
      <c r="CQ11" s="266" t="s">
        <v>343</v>
      </c>
      <c r="CR11" s="267" t="s">
        <v>295</v>
      </c>
      <c r="CS11" s="268">
        <v>1089300</v>
      </c>
      <c r="CV11" s="43" t="str">
        <f t="shared" si="11"/>
        <v>(AK) - DILLINGHAM CENSUS AREA</v>
      </c>
      <c r="CW11" s="70">
        <f t="shared" si="12"/>
        <v>1089300</v>
      </c>
    </row>
    <row r="12" spans="1:101" ht="15.75" thickBot="1" x14ac:dyDescent="0.3">
      <c r="A12" s="43" t="s">
        <v>349</v>
      </c>
      <c r="F12" s="43" t="s">
        <v>350</v>
      </c>
      <c r="G12" s="58">
        <v>625500</v>
      </c>
      <c r="H12" s="58"/>
      <c r="I12" s="43" t="s">
        <v>298</v>
      </c>
      <c r="J12" s="68" t="s">
        <v>351</v>
      </c>
      <c r="K12" s="68" t="str">
        <f t="shared" si="2"/>
        <v xml:space="preserve">(AK ) - HOONAH-ANGOON </v>
      </c>
      <c r="L12" s="69">
        <v>625500</v>
      </c>
      <c r="M12" s="68" t="s">
        <v>300</v>
      </c>
      <c r="N12" s="58"/>
      <c r="R12" s="43" t="s">
        <v>295</v>
      </c>
      <c r="S12" s="43" t="s">
        <v>351</v>
      </c>
      <c r="T12" s="68" t="str">
        <f t="shared" si="3"/>
        <v xml:space="preserve">(AK) - HOONAH-ANGOON </v>
      </c>
      <c r="U12" s="70">
        <v>625500</v>
      </c>
      <c r="Y12" s="43" t="s">
        <v>295</v>
      </c>
      <c r="Z12" s="43" t="s">
        <v>352</v>
      </c>
      <c r="AA12" s="68" t="str">
        <f t="shared" si="4"/>
        <v xml:space="preserve">(AK) - HOONAH-ANGOON C </v>
      </c>
      <c r="AB12" s="59">
        <v>625500</v>
      </c>
      <c r="AF12" s="68" t="s">
        <v>295</v>
      </c>
      <c r="AG12" s="68" t="s">
        <v>352</v>
      </c>
      <c r="AH12" s="68" t="str">
        <f t="shared" si="5"/>
        <v xml:space="preserve">(AK) - HOONAH-ANGOON C </v>
      </c>
      <c r="AI12" s="71">
        <v>625500</v>
      </c>
      <c r="AK12" s="72" t="s">
        <v>295</v>
      </c>
      <c r="AL12" s="73" t="s">
        <v>353</v>
      </c>
      <c r="AM12" s="74" t="str">
        <f t="shared" si="6"/>
        <v>(AK) - HOONAH-ANGOON C</v>
      </c>
      <c r="AN12" s="75">
        <v>625500</v>
      </c>
      <c r="AP12" s="72" t="s">
        <v>295</v>
      </c>
      <c r="AQ12" s="73" t="s">
        <v>353</v>
      </c>
      <c r="AR12" s="74" t="str">
        <f t="shared" si="7"/>
        <v>(AK) - HOONAH-ANGOON C</v>
      </c>
      <c r="AS12" s="75">
        <v>625500</v>
      </c>
      <c r="AU12" s="35" t="s">
        <v>295</v>
      </c>
      <c r="AV12" s="36" t="s">
        <v>353</v>
      </c>
      <c r="AW12" s="74" t="str">
        <f t="shared" si="13"/>
        <v>(AK) - HOONAH-ANGOON C</v>
      </c>
      <c r="AX12" s="76">
        <v>625500</v>
      </c>
      <c r="AZ12" s="37" t="s">
        <v>295</v>
      </c>
      <c r="BA12" s="38" t="s">
        <v>353</v>
      </c>
      <c r="BB12" s="74" t="str">
        <f t="shared" si="14"/>
        <v>(AK) - HOONAH-ANGOON C</v>
      </c>
      <c r="BC12" s="76">
        <v>625500</v>
      </c>
      <c r="BE12" s="39" t="s">
        <v>295</v>
      </c>
      <c r="BF12" s="40" t="s">
        <v>353</v>
      </c>
      <c r="BG12" s="41" t="str">
        <f t="shared" si="8"/>
        <v>(AK) - HOONAH-ANGOON C</v>
      </c>
      <c r="BH12" s="77">
        <v>636150</v>
      </c>
      <c r="BK12" s="37" t="s">
        <v>295</v>
      </c>
      <c r="BL12" s="38" t="s">
        <v>353</v>
      </c>
      <c r="BM12" s="43" t="str">
        <f t="shared" si="15"/>
        <v>(AK) - HOONAH-ANGOON C</v>
      </c>
      <c r="BN12" s="76">
        <v>679650</v>
      </c>
      <c r="BQ12" s="38" t="s">
        <v>353</v>
      </c>
      <c r="BR12" s="37" t="s">
        <v>295</v>
      </c>
      <c r="BS12" s="78" t="str">
        <f t="shared" si="9"/>
        <v>(AK) - HOONAH-ANGOON C</v>
      </c>
      <c r="BT12" s="79">
        <v>726525</v>
      </c>
      <c r="BW12" s="38" t="s">
        <v>354</v>
      </c>
      <c r="BX12" s="37" t="s">
        <v>295</v>
      </c>
      <c r="BY12" s="78" t="str">
        <f t="shared" si="10"/>
        <v>(AK) - HOONAH-ANGOON CENSUS AREA</v>
      </c>
      <c r="BZ12" s="80">
        <v>765600</v>
      </c>
      <c r="CC12" s="43" t="s">
        <v>304</v>
      </c>
      <c r="CD12" s="43" t="s">
        <v>354</v>
      </c>
      <c r="CE12" s="37" t="s">
        <v>295</v>
      </c>
      <c r="CF12" s="81" t="str">
        <f t="shared" si="16"/>
        <v>(AK) - HOONAH-ANGOON CENSUS AREA</v>
      </c>
      <c r="CG12" s="59">
        <v>822375</v>
      </c>
      <c r="CH12" s="59"/>
      <c r="CI12" s="266" t="s">
        <v>354</v>
      </c>
      <c r="CJ12" s="267" t="s">
        <v>295</v>
      </c>
      <c r="CK12" s="268">
        <v>970800</v>
      </c>
      <c r="CM12" s="43" t="str">
        <f t="shared" si="1"/>
        <v>(AK) - HOONAH-ANGOON CENSUS AREA</v>
      </c>
      <c r="CN12" s="269">
        <f t="shared" si="0"/>
        <v>970800</v>
      </c>
      <c r="CO12" s="269"/>
      <c r="CQ12" s="263" t="s">
        <v>347</v>
      </c>
      <c r="CR12" s="264" t="s">
        <v>295</v>
      </c>
      <c r="CS12" s="265">
        <v>1089300</v>
      </c>
      <c r="CV12" s="43" t="str">
        <f t="shared" si="11"/>
        <v>(AK) - FAIRBANKS NORTH STAR BOROUGH</v>
      </c>
      <c r="CW12" s="70">
        <f t="shared" si="12"/>
        <v>1089300</v>
      </c>
    </row>
    <row r="13" spans="1:101" ht="15.75" thickBot="1" x14ac:dyDescent="0.3">
      <c r="F13" s="43" t="s">
        <v>355</v>
      </c>
      <c r="G13" s="58">
        <v>625500</v>
      </c>
      <c r="H13" s="58"/>
      <c r="I13" s="43" t="s">
        <v>298</v>
      </c>
      <c r="J13" s="68" t="s">
        <v>356</v>
      </c>
      <c r="K13" s="68" t="str">
        <f t="shared" si="2"/>
        <v xml:space="preserve">(AK ) - JUNEAU </v>
      </c>
      <c r="L13" s="69">
        <v>625500</v>
      </c>
      <c r="M13" s="68" t="s">
        <v>300</v>
      </c>
      <c r="N13" s="58"/>
      <c r="R13" s="43" t="s">
        <v>295</v>
      </c>
      <c r="S13" s="43" t="s">
        <v>356</v>
      </c>
      <c r="T13" s="68" t="str">
        <f t="shared" si="3"/>
        <v xml:space="preserve">(AK) - JUNEAU </v>
      </c>
      <c r="U13" s="70">
        <v>625500</v>
      </c>
      <c r="Y13" s="43" t="s">
        <v>295</v>
      </c>
      <c r="Z13" s="43" t="s">
        <v>356</v>
      </c>
      <c r="AA13" s="68" t="str">
        <f t="shared" si="4"/>
        <v xml:space="preserve">(AK) - JUNEAU </v>
      </c>
      <c r="AB13" s="59">
        <v>625500</v>
      </c>
      <c r="AF13" s="68" t="s">
        <v>295</v>
      </c>
      <c r="AG13" s="68" t="s">
        <v>356</v>
      </c>
      <c r="AH13" s="68" t="str">
        <f t="shared" si="5"/>
        <v xml:space="preserve">(AK) - JUNEAU </v>
      </c>
      <c r="AI13" s="71">
        <v>625500</v>
      </c>
      <c r="AK13" s="72" t="s">
        <v>295</v>
      </c>
      <c r="AL13" s="73" t="s">
        <v>357</v>
      </c>
      <c r="AM13" s="74" t="str">
        <f t="shared" si="6"/>
        <v>(AK) - JUNEAU CITY AND</v>
      </c>
      <c r="AN13" s="75">
        <v>625500</v>
      </c>
      <c r="AP13" s="72" t="s">
        <v>295</v>
      </c>
      <c r="AQ13" s="73" t="s">
        <v>357</v>
      </c>
      <c r="AR13" s="74" t="str">
        <f t="shared" si="7"/>
        <v>(AK) - JUNEAU CITY AND</v>
      </c>
      <c r="AS13" s="75">
        <v>625500</v>
      </c>
      <c r="AU13" s="35" t="s">
        <v>295</v>
      </c>
      <c r="AV13" s="36" t="s">
        <v>358</v>
      </c>
      <c r="AW13" s="74" t="str">
        <f t="shared" si="13"/>
        <v>(AK) - JUNEAU</v>
      </c>
      <c r="AX13" s="76">
        <v>625500</v>
      </c>
      <c r="AZ13" s="37" t="s">
        <v>295</v>
      </c>
      <c r="BA13" s="38" t="s">
        <v>358</v>
      </c>
      <c r="BB13" s="74" t="str">
        <f t="shared" si="14"/>
        <v>(AK) - JUNEAU</v>
      </c>
      <c r="BC13" s="76">
        <v>625500</v>
      </c>
      <c r="BE13" s="39" t="s">
        <v>295</v>
      </c>
      <c r="BF13" s="40" t="s">
        <v>358</v>
      </c>
      <c r="BG13" s="41" t="str">
        <f t="shared" si="8"/>
        <v>(AK) - JUNEAU</v>
      </c>
      <c r="BH13" s="77">
        <v>636150</v>
      </c>
      <c r="BK13" s="37" t="s">
        <v>295</v>
      </c>
      <c r="BL13" s="38" t="s">
        <v>358</v>
      </c>
      <c r="BM13" s="43" t="str">
        <f t="shared" si="15"/>
        <v>(AK) - JUNEAU</v>
      </c>
      <c r="BN13" s="76">
        <v>679650</v>
      </c>
      <c r="BQ13" s="38" t="s">
        <v>358</v>
      </c>
      <c r="BR13" s="37" t="s">
        <v>295</v>
      </c>
      <c r="BS13" s="78" t="str">
        <f t="shared" si="9"/>
        <v>(AK) - JUNEAU</v>
      </c>
      <c r="BT13" s="79">
        <v>726525</v>
      </c>
      <c r="BW13" s="38" t="s">
        <v>359</v>
      </c>
      <c r="BX13" s="37" t="s">
        <v>295</v>
      </c>
      <c r="BY13" s="78" t="str">
        <f t="shared" si="10"/>
        <v>(AK) - JUNEAU CITY AND BOROUGH</v>
      </c>
      <c r="BZ13" s="80">
        <v>765600</v>
      </c>
      <c r="CC13" s="43" t="s">
        <v>304</v>
      </c>
      <c r="CD13" s="43" t="s">
        <v>359</v>
      </c>
      <c r="CE13" s="37" t="s">
        <v>295</v>
      </c>
      <c r="CF13" s="81" t="str">
        <f t="shared" si="16"/>
        <v>(AK) - JUNEAU CITY AND BOROUGH</v>
      </c>
      <c r="CG13" s="59">
        <v>822375</v>
      </c>
      <c r="CH13" s="59"/>
      <c r="CI13" s="263" t="s">
        <v>359</v>
      </c>
      <c r="CJ13" s="264" t="s">
        <v>295</v>
      </c>
      <c r="CK13" s="265">
        <v>970800</v>
      </c>
      <c r="CM13" s="43" t="str">
        <f t="shared" si="1"/>
        <v>(AK) - JUNEAU CITY AND BOROUGH</v>
      </c>
      <c r="CN13" s="269">
        <f t="shared" si="0"/>
        <v>970800</v>
      </c>
      <c r="CO13" s="269"/>
      <c r="CQ13" s="266" t="s">
        <v>354</v>
      </c>
      <c r="CR13" s="267" t="s">
        <v>295</v>
      </c>
      <c r="CS13" s="268">
        <v>1089300</v>
      </c>
      <c r="CV13" s="43" t="str">
        <f t="shared" si="11"/>
        <v>(AK) - HAINES BOROUGH</v>
      </c>
      <c r="CW13" s="70">
        <f t="shared" si="12"/>
        <v>1089300</v>
      </c>
    </row>
    <row r="14" spans="1:101" ht="15.75" thickBot="1" x14ac:dyDescent="0.3">
      <c r="F14" s="43" t="s">
        <v>360</v>
      </c>
      <c r="G14" s="58">
        <v>625500</v>
      </c>
      <c r="H14" s="58"/>
      <c r="I14" s="43" t="s">
        <v>298</v>
      </c>
      <c r="J14" s="68" t="s">
        <v>361</v>
      </c>
      <c r="K14" s="68" t="str">
        <f t="shared" si="2"/>
        <v xml:space="preserve">(AK ) - KENAI PENINSULA </v>
      </c>
      <c r="L14" s="69">
        <v>625500</v>
      </c>
      <c r="M14" s="68" t="s">
        <v>300</v>
      </c>
      <c r="N14" s="58"/>
      <c r="R14" s="43" t="s">
        <v>295</v>
      </c>
      <c r="S14" s="43" t="s">
        <v>361</v>
      </c>
      <c r="T14" s="68" t="str">
        <f t="shared" si="3"/>
        <v xml:space="preserve">(AK) - KENAI PENINSULA </v>
      </c>
      <c r="U14" s="70">
        <v>625500</v>
      </c>
      <c r="Y14" s="43" t="s">
        <v>295</v>
      </c>
      <c r="Z14" s="43" t="s">
        <v>361</v>
      </c>
      <c r="AA14" s="68" t="str">
        <f t="shared" si="4"/>
        <v xml:space="preserve">(AK) - KENAI PENINSULA </v>
      </c>
      <c r="AB14" s="59">
        <v>625500</v>
      </c>
      <c r="AF14" s="68" t="s">
        <v>295</v>
      </c>
      <c r="AG14" s="68" t="s">
        <v>361</v>
      </c>
      <c r="AH14" s="68" t="str">
        <f t="shared" si="5"/>
        <v xml:space="preserve">(AK) - KENAI PENINSULA </v>
      </c>
      <c r="AI14" s="71">
        <v>625500</v>
      </c>
      <c r="AK14" s="72" t="s">
        <v>295</v>
      </c>
      <c r="AL14" s="73" t="s">
        <v>362</v>
      </c>
      <c r="AM14" s="74" t="str">
        <f t="shared" si="6"/>
        <v>(AK) - KENAI PENINSULA</v>
      </c>
      <c r="AN14" s="75">
        <v>625500</v>
      </c>
      <c r="AP14" s="72" t="s">
        <v>295</v>
      </c>
      <c r="AQ14" s="73" t="s">
        <v>362</v>
      </c>
      <c r="AR14" s="74" t="str">
        <f t="shared" si="7"/>
        <v>(AK) - KENAI PENINSULA</v>
      </c>
      <c r="AS14" s="75">
        <v>625500</v>
      </c>
      <c r="AU14" s="35" t="s">
        <v>295</v>
      </c>
      <c r="AV14" s="36" t="s">
        <v>362</v>
      </c>
      <c r="AW14" s="74" t="str">
        <f t="shared" si="13"/>
        <v>(AK) - KENAI PENINSULA</v>
      </c>
      <c r="AX14" s="76">
        <v>625500</v>
      </c>
      <c r="AZ14" s="37" t="s">
        <v>295</v>
      </c>
      <c r="BA14" s="38" t="s">
        <v>362</v>
      </c>
      <c r="BB14" s="74" t="str">
        <f t="shared" si="14"/>
        <v>(AK) - KENAI PENINSULA</v>
      </c>
      <c r="BC14" s="76">
        <v>625500</v>
      </c>
      <c r="BE14" s="39" t="s">
        <v>295</v>
      </c>
      <c r="BF14" s="40" t="s">
        <v>362</v>
      </c>
      <c r="BG14" s="41" t="str">
        <f t="shared" si="8"/>
        <v>(AK) - KENAI PENINSULA</v>
      </c>
      <c r="BH14" s="77">
        <v>636150</v>
      </c>
      <c r="BK14" s="37" t="s">
        <v>295</v>
      </c>
      <c r="BL14" s="38" t="s">
        <v>362</v>
      </c>
      <c r="BM14" s="43" t="str">
        <f t="shared" si="15"/>
        <v>(AK) - KENAI PENINSULA</v>
      </c>
      <c r="BN14" s="76">
        <v>679650</v>
      </c>
      <c r="BQ14" s="38" t="s">
        <v>362</v>
      </c>
      <c r="BR14" s="37" t="s">
        <v>295</v>
      </c>
      <c r="BS14" s="78" t="str">
        <f t="shared" si="9"/>
        <v>(AK) - KENAI PENINSULA</v>
      </c>
      <c r="BT14" s="79">
        <v>726525</v>
      </c>
      <c r="BW14" s="38" t="s">
        <v>363</v>
      </c>
      <c r="BX14" s="37" t="s">
        <v>295</v>
      </c>
      <c r="BY14" s="78" t="str">
        <f t="shared" si="10"/>
        <v>(AK) - KENAI PENINSULA BOROUGH</v>
      </c>
      <c r="BZ14" s="80">
        <v>765600</v>
      </c>
      <c r="CC14" s="43" t="s">
        <v>304</v>
      </c>
      <c r="CD14" s="43" t="s">
        <v>363</v>
      </c>
      <c r="CE14" s="37" t="s">
        <v>295</v>
      </c>
      <c r="CF14" s="81" t="str">
        <f t="shared" si="16"/>
        <v>(AK) - KENAI PENINSULA BOROUGH</v>
      </c>
      <c r="CG14" s="59">
        <v>822375</v>
      </c>
      <c r="CH14" s="59"/>
      <c r="CI14" s="266" t="s">
        <v>363</v>
      </c>
      <c r="CJ14" s="267" t="s">
        <v>295</v>
      </c>
      <c r="CK14" s="268">
        <v>970800</v>
      </c>
      <c r="CM14" s="43" t="str">
        <f t="shared" si="1"/>
        <v>(AK) - KENAI PENINSULA BOROUGH</v>
      </c>
      <c r="CN14" s="269">
        <f t="shared" si="0"/>
        <v>970800</v>
      </c>
      <c r="CO14" s="269"/>
      <c r="CQ14" s="263" t="s">
        <v>359</v>
      </c>
      <c r="CR14" s="264" t="s">
        <v>295</v>
      </c>
      <c r="CS14" s="265">
        <v>1089300</v>
      </c>
      <c r="CV14" s="43" t="str">
        <f t="shared" si="11"/>
        <v>(AK) - HOONAH-ANGOON CENSUS AREA</v>
      </c>
      <c r="CW14" s="70">
        <f t="shared" si="12"/>
        <v>1089300</v>
      </c>
    </row>
    <row r="15" spans="1:101" ht="15.75" thickBot="1" x14ac:dyDescent="0.3">
      <c r="F15" s="43" t="s">
        <v>364</v>
      </c>
      <c r="G15" s="58">
        <v>625500</v>
      </c>
      <c r="H15" s="58"/>
      <c r="I15" s="43" t="s">
        <v>298</v>
      </c>
      <c r="J15" s="68" t="s">
        <v>365</v>
      </c>
      <c r="K15" s="68" t="str">
        <f t="shared" si="2"/>
        <v xml:space="preserve">(AK ) - KETCHIKAN GATEWAY </v>
      </c>
      <c r="L15" s="69">
        <v>625500</v>
      </c>
      <c r="M15" s="68" t="s">
        <v>300</v>
      </c>
      <c r="N15" s="58"/>
      <c r="R15" s="43" t="s">
        <v>295</v>
      </c>
      <c r="S15" s="43" t="s">
        <v>365</v>
      </c>
      <c r="T15" s="68" t="str">
        <f t="shared" si="3"/>
        <v xml:space="preserve">(AK) - KETCHIKAN GATEWAY </v>
      </c>
      <c r="U15" s="70">
        <v>625500</v>
      </c>
      <c r="Y15" s="43" t="s">
        <v>295</v>
      </c>
      <c r="Z15" s="43" t="s">
        <v>366</v>
      </c>
      <c r="AA15" s="68" t="str">
        <f t="shared" si="4"/>
        <v xml:space="preserve">(AK) - KETCHIKAN GATEW </v>
      </c>
      <c r="AB15" s="59">
        <v>625500</v>
      </c>
      <c r="AF15" s="68" t="s">
        <v>295</v>
      </c>
      <c r="AG15" s="68" t="s">
        <v>366</v>
      </c>
      <c r="AH15" s="68" t="str">
        <f t="shared" si="5"/>
        <v xml:space="preserve">(AK) - KETCHIKAN GATEW </v>
      </c>
      <c r="AI15" s="71">
        <v>625500</v>
      </c>
      <c r="AK15" s="72" t="s">
        <v>295</v>
      </c>
      <c r="AL15" s="73" t="s">
        <v>367</v>
      </c>
      <c r="AM15" s="74" t="str">
        <f t="shared" si="6"/>
        <v>(AK) - KETCHIKAN GATEW</v>
      </c>
      <c r="AN15" s="75">
        <v>625500</v>
      </c>
      <c r="AP15" s="72" t="s">
        <v>295</v>
      </c>
      <c r="AQ15" s="73" t="s">
        <v>367</v>
      </c>
      <c r="AR15" s="74" t="str">
        <f t="shared" si="7"/>
        <v>(AK) - KETCHIKAN GATEW</v>
      </c>
      <c r="AS15" s="75">
        <v>625500</v>
      </c>
      <c r="AU15" s="35" t="s">
        <v>295</v>
      </c>
      <c r="AV15" s="36" t="s">
        <v>367</v>
      </c>
      <c r="AW15" s="74" t="str">
        <f t="shared" si="13"/>
        <v>(AK) - KETCHIKAN GATEW</v>
      </c>
      <c r="AX15" s="76">
        <v>625500</v>
      </c>
      <c r="AZ15" s="37" t="s">
        <v>295</v>
      </c>
      <c r="BA15" s="38" t="s">
        <v>367</v>
      </c>
      <c r="BB15" s="74" t="str">
        <f t="shared" si="14"/>
        <v>(AK) - KETCHIKAN GATEW</v>
      </c>
      <c r="BC15" s="76">
        <v>625500</v>
      </c>
      <c r="BE15" s="39" t="s">
        <v>295</v>
      </c>
      <c r="BF15" s="40" t="s">
        <v>367</v>
      </c>
      <c r="BG15" s="41" t="str">
        <f t="shared" si="8"/>
        <v>(AK) - KETCHIKAN GATEW</v>
      </c>
      <c r="BH15" s="77">
        <v>636150</v>
      </c>
      <c r="BK15" s="37" t="s">
        <v>295</v>
      </c>
      <c r="BL15" s="38" t="s">
        <v>367</v>
      </c>
      <c r="BM15" s="43" t="str">
        <f t="shared" si="15"/>
        <v>(AK) - KETCHIKAN GATEW</v>
      </c>
      <c r="BN15" s="76">
        <v>679650</v>
      </c>
      <c r="BQ15" s="38" t="s">
        <v>367</v>
      </c>
      <c r="BR15" s="37" t="s">
        <v>295</v>
      </c>
      <c r="BS15" s="78" t="str">
        <f t="shared" si="9"/>
        <v>(AK) - KETCHIKAN GATEW</v>
      </c>
      <c r="BT15" s="79">
        <v>726525</v>
      </c>
      <c r="BW15" s="38" t="s">
        <v>368</v>
      </c>
      <c r="BX15" s="37" t="s">
        <v>295</v>
      </c>
      <c r="BY15" s="78" t="str">
        <f t="shared" si="10"/>
        <v>(AK) - KETCHIKAN GATEWAY BOROUGH</v>
      </c>
      <c r="BZ15" s="80">
        <v>765600</v>
      </c>
      <c r="CC15" s="43" t="s">
        <v>304</v>
      </c>
      <c r="CD15" s="43" t="s">
        <v>368</v>
      </c>
      <c r="CE15" s="37" t="s">
        <v>295</v>
      </c>
      <c r="CF15" s="81" t="str">
        <f t="shared" si="16"/>
        <v>(AK) - KETCHIKAN GATEWAY BOROUGH</v>
      </c>
      <c r="CG15" s="59">
        <v>822375</v>
      </c>
      <c r="CH15" s="59"/>
      <c r="CI15" s="263" t="s">
        <v>368</v>
      </c>
      <c r="CJ15" s="264" t="s">
        <v>295</v>
      </c>
      <c r="CK15" s="265">
        <v>970800</v>
      </c>
      <c r="CM15" s="43" t="str">
        <f t="shared" si="1"/>
        <v>(AK) - KETCHIKAN GATEWAY BOROUGH</v>
      </c>
      <c r="CN15" s="269">
        <f t="shared" si="0"/>
        <v>970800</v>
      </c>
      <c r="CO15" s="269"/>
      <c r="CQ15" s="266" t="s">
        <v>363</v>
      </c>
      <c r="CR15" s="267" t="s">
        <v>295</v>
      </c>
      <c r="CS15" s="268">
        <v>1089300</v>
      </c>
      <c r="CV15" s="43" t="str">
        <f t="shared" si="11"/>
        <v>(AK) - JUNEAU CITY AND BOROUGH</v>
      </c>
      <c r="CW15" s="70">
        <f t="shared" si="12"/>
        <v>1089300</v>
      </c>
    </row>
    <row r="16" spans="1:101" ht="15.75" thickBot="1" x14ac:dyDescent="0.3">
      <c r="F16" s="43" t="s">
        <v>369</v>
      </c>
      <c r="G16" s="58">
        <v>625500</v>
      </c>
      <c r="H16" s="58"/>
      <c r="I16" s="43" t="s">
        <v>298</v>
      </c>
      <c r="J16" s="68" t="s">
        <v>370</v>
      </c>
      <c r="K16" s="68" t="str">
        <f t="shared" si="2"/>
        <v xml:space="preserve">(AK ) - KODIAK ISLAND </v>
      </c>
      <c r="L16" s="69">
        <v>625500</v>
      </c>
      <c r="M16" s="68" t="s">
        <v>300</v>
      </c>
      <c r="N16" s="58"/>
      <c r="R16" s="43" t="s">
        <v>295</v>
      </c>
      <c r="S16" s="43" t="s">
        <v>370</v>
      </c>
      <c r="T16" s="68" t="str">
        <f t="shared" si="3"/>
        <v xml:space="preserve">(AK) - KODIAK ISLAND </v>
      </c>
      <c r="U16" s="70">
        <v>625500</v>
      </c>
      <c r="Y16" s="43" t="s">
        <v>295</v>
      </c>
      <c r="Z16" s="43" t="s">
        <v>370</v>
      </c>
      <c r="AA16" s="68" t="str">
        <f t="shared" si="4"/>
        <v xml:space="preserve">(AK) - KODIAK ISLAND </v>
      </c>
      <c r="AB16" s="59">
        <v>625500</v>
      </c>
      <c r="AF16" s="68" t="s">
        <v>295</v>
      </c>
      <c r="AG16" s="68" t="s">
        <v>370</v>
      </c>
      <c r="AH16" s="68" t="str">
        <f t="shared" si="5"/>
        <v xml:space="preserve">(AK) - KODIAK ISLAND </v>
      </c>
      <c r="AI16" s="71">
        <v>625500</v>
      </c>
      <c r="AK16" s="72" t="s">
        <v>295</v>
      </c>
      <c r="AL16" s="73" t="s">
        <v>371</v>
      </c>
      <c r="AM16" s="74" t="str">
        <f t="shared" si="6"/>
        <v>(AK) - KODIAK ISLAND B</v>
      </c>
      <c r="AN16" s="75">
        <v>625500</v>
      </c>
      <c r="AP16" s="72" t="s">
        <v>295</v>
      </c>
      <c r="AQ16" s="73" t="s">
        <v>371</v>
      </c>
      <c r="AR16" s="74" t="str">
        <f t="shared" si="7"/>
        <v>(AK) - KODIAK ISLAND B</v>
      </c>
      <c r="AS16" s="75">
        <v>625500</v>
      </c>
      <c r="AU16" s="35" t="s">
        <v>295</v>
      </c>
      <c r="AV16" s="36" t="s">
        <v>372</v>
      </c>
      <c r="AW16" s="74" t="str">
        <f t="shared" si="13"/>
        <v>(AK) - KODIAK ISLAND</v>
      </c>
      <c r="AX16" s="76">
        <v>625500</v>
      </c>
      <c r="AZ16" s="37" t="s">
        <v>295</v>
      </c>
      <c r="BA16" s="38" t="s">
        <v>372</v>
      </c>
      <c r="BB16" s="74" t="str">
        <f t="shared" si="14"/>
        <v>(AK) - KODIAK ISLAND</v>
      </c>
      <c r="BC16" s="76">
        <v>625500</v>
      </c>
      <c r="BE16" s="39" t="s">
        <v>295</v>
      </c>
      <c r="BF16" s="40" t="s">
        <v>372</v>
      </c>
      <c r="BG16" s="41" t="str">
        <f t="shared" si="8"/>
        <v>(AK) - KODIAK ISLAND</v>
      </c>
      <c r="BH16" s="77">
        <v>636150</v>
      </c>
      <c r="BK16" s="37" t="s">
        <v>295</v>
      </c>
      <c r="BL16" s="38" t="s">
        <v>372</v>
      </c>
      <c r="BM16" s="43" t="str">
        <f t="shared" si="15"/>
        <v>(AK) - KODIAK ISLAND</v>
      </c>
      <c r="BN16" s="76">
        <v>679650</v>
      </c>
      <c r="BQ16" s="38" t="s">
        <v>372</v>
      </c>
      <c r="BR16" s="37" t="s">
        <v>295</v>
      </c>
      <c r="BS16" s="78" t="str">
        <f t="shared" si="9"/>
        <v>(AK) - KODIAK ISLAND</v>
      </c>
      <c r="BT16" s="79">
        <v>726525</v>
      </c>
      <c r="BW16" s="38" t="s">
        <v>373</v>
      </c>
      <c r="BX16" s="37" t="s">
        <v>295</v>
      </c>
      <c r="BY16" s="78" t="str">
        <f t="shared" si="10"/>
        <v>(AK) - KODIAK ISLAND BOROUGH</v>
      </c>
      <c r="BZ16" s="80">
        <v>765600</v>
      </c>
      <c r="CC16" s="43" t="s">
        <v>304</v>
      </c>
      <c r="CD16" s="43" t="s">
        <v>373</v>
      </c>
      <c r="CE16" s="37" t="s">
        <v>295</v>
      </c>
      <c r="CF16" s="81" t="str">
        <f t="shared" si="16"/>
        <v>(AK) - KODIAK ISLAND BOROUGH</v>
      </c>
      <c r="CG16" s="59">
        <v>822375</v>
      </c>
      <c r="CH16" s="59"/>
      <c r="CI16" s="266" t="s">
        <v>373</v>
      </c>
      <c r="CJ16" s="267" t="s">
        <v>295</v>
      </c>
      <c r="CK16" s="268">
        <v>970800</v>
      </c>
      <c r="CM16" s="43" t="str">
        <f t="shared" si="1"/>
        <v>(AK) - KODIAK ISLAND BOROUGH</v>
      </c>
      <c r="CN16" s="269">
        <f t="shared" si="0"/>
        <v>970800</v>
      </c>
      <c r="CO16" s="269"/>
      <c r="CQ16" s="263" t="s">
        <v>368</v>
      </c>
      <c r="CR16" s="264" t="s">
        <v>295</v>
      </c>
      <c r="CS16" s="265">
        <v>1089300</v>
      </c>
      <c r="CV16" s="43" t="str">
        <f t="shared" si="11"/>
        <v>(AK) - KENAI PENINSULA BOROUGH</v>
      </c>
      <c r="CW16" s="70">
        <f t="shared" si="12"/>
        <v>1089300</v>
      </c>
    </row>
    <row r="17" spans="6:101" ht="15.75" thickBot="1" x14ac:dyDescent="0.3">
      <c r="F17" s="43" t="s">
        <v>374</v>
      </c>
      <c r="G17" s="58">
        <v>625500</v>
      </c>
      <c r="H17" s="58"/>
      <c r="I17" s="43" t="s">
        <v>298</v>
      </c>
      <c r="J17" s="68" t="s">
        <v>375</v>
      </c>
      <c r="K17" s="68" t="str">
        <f t="shared" si="2"/>
        <v xml:space="preserve">(AK ) - LAKE AND PENINSULA </v>
      </c>
      <c r="L17" s="69">
        <v>625500</v>
      </c>
      <c r="M17" s="68" t="s">
        <v>300</v>
      </c>
      <c r="N17" s="58"/>
      <c r="R17" s="43" t="s">
        <v>295</v>
      </c>
      <c r="S17" s="43" t="s">
        <v>375</v>
      </c>
      <c r="T17" s="68" t="str">
        <f t="shared" si="3"/>
        <v xml:space="preserve">(AK) - LAKE AND PENINSULA </v>
      </c>
      <c r="U17" s="70">
        <v>625500</v>
      </c>
      <c r="Y17" s="43" t="s">
        <v>295</v>
      </c>
      <c r="Z17" s="43" t="s">
        <v>376</v>
      </c>
      <c r="AA17" s="68" t="str">
        <f t="shared" si="4"/>
        <v xml:space="preserve">(AK) - LAKE AND PENINS </v>
      </c>
      <c r="AB17" s="59">
        <v>625500</v>
      </c>
      <c r="AF17" s="68" t="s">
        <v>295</v>
      </c>
      <c r="AG17" s="68" t="s">
        <v>376</v>
      </c>
      <c r="AH17" s="68" t="str">
        <f t="shared" si="5"/>
        <v xml:space="preserve">(AK) - LAKE AND PENINS </v>
      </c>
      <c r="AI17" s="71">
        <v>625500</v>
      </c>
      <c r="AK17" s="82" t="s">
        <v>295</v>
      </c>
      <c r="AL17" s="83" t="s">
        <v>377</v>
      </c>
      <c r="AM17" s="74" t="str">
        <f t="shared" si="6"/>
        <v>(AK) - LAKE AND PENINS</v>
      </c>
      <c r="AN17" s="84">
        <v>625500</v>
      </c>
      <c r="AP17" s="82" t="s">
        <v>295</v>
      </c>
      <c r="AQ17" s="83" t="s">
        <v>377</v>
      </c>
      <c r="AR17" s="74" t="str">
        <f t="shared" si="7"/>
        <v>(AK) - LAKE AND PENINS</v>
      </c>
      <c r="AS17" s="84">
        <v>625500</v>
      </c>
      <c r="AU17" s="35" t="s">
        <v>295</v>
      </c>
      <c r="AV17" s="36" t="s">
        <v>377</v>
      </c>
      <c r="AW17" s="74" t="str">
        <f t="shared" si="13"/>
        <v>(AK) - LAKE AND PENINS</v>
      </c>
      <c r="AX17" s="76">
        <v>625500</v>
      </c>
      <c r="AZ17" s="37" t="s">
        <v>295</v>
      </c>
      <c r="BA17" s="38" t="s">
        <v>377</v>
      </c>
      <c r="BB17" s="74" t="str">
        <f t="shared" si="14"/>
        <v>(AK) - LAKE AND PENINS</v>
      </c>
      <c r="BC17" s="76">
        <v>625500</v>
      </c>
      <c r="BE17" s="39" t="s">
        <v>295</v>
      </c>
      <c r="BF17" s="40" t="s">
        <v>378</v>
      </c>
      <c r="BG17" s="41" t="str">
        <f t="shared" si="8"/>
        <v>(AK) - KUSILVAK</v>
      </c>
      <c r="BH17" s="77">
        <v>636150</v>
      </c>
      <c r="BK17" s="37" t="s">
        <v>295</v>
      </c>
      <c r="BL17" s="38" t="s">
        <v>378</v>
      </c>
      <c r="BM17" s="43" t="str">
        <f t="shared" si="15"/>
        <v>(AK) - KUSILVAK</v>
      </c>
      <c r="BN17" s="76">
        <v>679650</v>
      </c>
      <c r="BQ17" s="38" t="s">
        <v>379</v>
      </c>
      <c r="BR17" s="37" t="s">
        <v>295</v>
      </c>
      <c r="BS17" s="78" t="str">
        <f t="shared" si="9"/>
        <v>(AK) - KUSILVAK CENSUS AREA</v>
      </c>
      <c r="BT17" s="79">
        <v>726525</v>
      </c>
      <c r="BW17" s="38" t="s">
        <v>379</v>
      </c>
      <c r="BX17" s="37" t="s">
        <v>295</v>
      </c>
      <c r="BY17" s="78" t="str">
        <f t="shared" si="10"/>
        <v>(AK) - KUSILVAK CENSUS AREA</v>
      </c>
      <c r="BZ17" s="80">
        <v>765600</v>
      </c>
      <c r="CC17" s="43" t="s">
        <v>304</v>
      </c>
      <c r="CD17" s="43" t="s">
        <v>379</v>
      </c>
      <c r="CE17" s="37" t="s">
        <v>295</v>
      </c>
      <c r="CF17" s="81" t="str">
        <f t="shared" si="16"/>
        <v>(AK) - KUSILVAK CENSUS AREA</v>
      </c>
      <c r="CG17" s="59">
        <v>822375</v>
      </c>
      <c r="CH17" s="59"/>
      <c r="CI17" s="263" t="s">
        <v>379</v>
      </c>
      <c r="CJ17" s="264" t="s">
        <v>295</v>
      </c>
      <c r="CK17" s="265">
        <v>970800</v>
      </c>
      <c r="CM17" s="43" t="str">
        <f t="shared" si="1"/>
        <v>(AK) - KUSILVAK CENSUS AREA</v>
      </c>
      <c r="CN17" s="269">
        <f t="shared" si="0"/>
        <v>970800</v>
      </c>
      <c r="CO17" s="269"/>
      <c r="CQ17" s="266" t="s">
        <v>373</v>
      </c>
      <c r="CR17" s="267" t="s">
        <v>295</v>
      </c>
      <c r="CS17" s="268">
        <v>1089300</v>
      </c>
      <c r="CV17" s="43" t="str">
        <f t="shared" si="11"/>
        <v>(AK) - KETCHIKAN GATEWAY BOROUGH</v>
      </c>
      <c r="CW17" s="70">
        <f t="shared" si="12"/>
        <v>1089300</v>
      </c>
    </row>
    <row r="18" spans="6:101" ht="15.75" thickBot="1" x14ac:dyDescent="0.3">
      <c r="F18" s="43" t="s">
        <v>380</v>
      </c>
      <c r="G18" s="58">
        <v>625500</v>
      </c>
      <c r="H18" s="58"/>
      <c r="I18" s="43" t="s">
        <v>298</v>
      </c>
      <c r="J18" s="68" t="s">
        <v>381</v>
      </c>
      <c r="K18" s="68" t="str">
        <f t="shared" si="2"/>
        <v xml:space="preserve">(AK ) - MATANUSKA-SUSITNA </v>
      </c>
      <c r="L18" s="69">
        <v>625500</v>
      </c>
      <c r="M18" s="68" t="s">
        <v>300</v>
      </c>
      <c r="N18" s="58"/>
      <c r="R18" s="43" t="s">
        <v>295</v>
      </c>
      <c r="S18" s="43" t="s">
        <v>381</v>
      </c>
      <c r="T18" s="68" t="str">
        <f t="shared" si="3"/>
        <v xml:space="preserve">(AK) - MATANUSKA-SUSITNA </v>
      </c>
      <c r="U18" s="70">
        <v>625500</v>
      </c>
      <c r="Y18" s="43" t="s">
        <v>295</v>
      </c>
      <c r="Z18" s="43" t="s">
        <v>382</v>
      </c>
      <c r="AA18" s="68" t="str">
        <f t="shared" si="4"/>
        <v xml:space="preserve">(AK) - MATANUSKA-SUSIT </v>
      </c>
      <c r="AB18" s="59">
        <v>625500</v>
      </c>
      <c r="AF18" s="68" t="s">
        <v>295</v>
      </c>
      <c r="AG18" s="68" t="s">
        <v>382</v>
      </c>
      <c r="AH18" s="68" t="str">
        <f t="shared" si="5"/>
        <v xml:space="preserve">(AK) - MATANUSKA-SUSIT </v>
      </c>
      <c r="AI18" s="71">
        <v>625500</v>
      </c>
      <c r="AK18" s="72" t="s">
        <v>295</v>
      </c>
      <c r="AL18" s="73" t="s">
        <v>383</v>
      </c>
      <c r="AM18" s="74" t="str">
        <f t="shared" si="6"/>
        <v>(AK) - MATANUSKA-SUSIT</v>
      </c>
      <c r="AN18" s="75">
        <v>625500</v>
      </c>
      <c r="AP18" s="72" t="s">
        <v>295</v>
      </c>
      <c r="AQ18" s="73" t="s">
        <v>383</v>
      </c>
      <c r="AR18" s="74" t="str">
        <f t="shared" si="7"/>
        <v>(AK) - MATANUSKA-SUSIT</v>
      </c>
      <c r="AS18" s="75">
        <v>625500</v>
      </c>
      <c r="AU18" s="35" t="s">
        <v>295</v>
      </c>
      <c r="AV18" s="36" t="s">
        <v>383</v>
      </c>
      <c r="AW18" s="74" t="str">
        <f t="shared" si="13"/>
        <v>(AK) - MATANUSKA-SUSIT</v>
      </c>
      <c r="AX18" s="76">
        <v>625500</v>
      </c>
      <c r="AZ18" s="37" t="s">
        <v>295</v>
      </c>
      <c r="BA18" s="38" t="s">
        <v>383</v>
      </c>
      <c r="BB18" s="74" t="str">
        <f t="shared" si="14"/>
        <v>(AK) - MATANUSKA-SUSIT</v>
      </c>
      <c r="BC18" s="76">
        <v>625500</v>
      </c>
      <c r="BE18" s="39" t="s">
        <v>295</v>
      </c>
      <c r="BF18" s="40" t="s">
        <v>377</v>
      </c>
      <c r="BG18" s="41" t="str">
        <f t="shared" si="8"/>
        <v>(AK) - LAKE AND PENINS</v>
      </c>
      <c r="BH18" s="77">
        <v>636150</v>
      </c>
      <c r="BK18" s="37" t="s">
        <v>295</v>
      </c>
      <c r="BL18" s="38" t="s">
        <v>377</v>
      </c>
      <c r="BM18" s="43" t="str">
        <f t="shared" si="15"/>
        <v>(AK) - LAKE AND PENINS</v>
      </c>
      <c r="BN18" s="76">
        <v>679650</v>
      </c>
      <c r="BQ18" s="38" t="s">
        <v>377</v>
      </c>
      <c r="BR18" s="37" t="s">
        <v>295</v>
      </c>
      <c r="BS18" s="78" t="str">
        <f t="shared" si="9"/>
        <v>(AK) - LAKE AND PENINS</v>
      </c>
      <c r="BT18" s="79">
        <v>726525</v>
      </c>
      <c r="BW18" s="38" t="s">
        <v>384</v>
      </c>
      <c r="BX18" s="37" t="s">
        <v>295</v>
      </c>
      <c r="BY18" s="78" t="str">
        <f t="shared" si="10"/>
        <v>(AK) - LAKE AND PENINSULA BOROUGH</v>
      </c>
      <c r="BZ18" s="80">
        <v>765600</v>
      </c>
      <c r="CC18" s="43" t="s">
        <v>304</v>
      </c>
      <c r="CD18" s="43" t="s">
        <v>384</v>
      </c>
      <c r="CE18" s="37" t="s">
        <v>295</v>
      </c>
      <c r="CF18" s="81" t="str">
        <f t="shared" si="16"/>
        <v>(AK) - LAKE AND PENINSULA BOROUGH</v>
      </c>
      <c r="CG18" s="59">
        <v>822375</v>
      </c>
      <c r="CH18" s="59"/>
      <c r="CI18" s="266" t="s">
        <v>384</v>
      </c>
      <c r="CJ18" s="267" t="s">
        <v>295</v>
      </c>
      <c r="CK18" s="268">
        <v>970800</v>
      </c>
      <c r="CM18" s="43" t="str">
        <f t="shared" si="1"/>
        <v>(AK) - LAKE AND PENINSULA BOROUGH</v>
      </c>
      <c r="CN18" s="269">
        <f t="shared" si="0"/>
        <v>970800</v>
      </c>
      <c r="CO18" s="269"/>
      <c r="CQ18" s="263" t="s">
        <v>379</v>
      </c>
      <c r="CR18" s="264" t="s">
        <v>295</v>
      </c>
      <c r="CS18" s="265">
        <v>1089300</v>
      </c>
      <c r="CV18" s="43" t="str">
        <f t="shared" si="11"/>
        <v>(AK) - KODIAK ISLAND BOROUGH</v>
      </c>
      <c r="CW18" s="70">
        <f t="shared" si="12"/>
        <v>1089300</v>
      </c>
    </row>
    <row r="19" spans="6:101" ht="15.75" thickBot="1" x14ac:dyDescent="0.3">
      <c r="F19" s="43" t="s">
        <v>385</v>
      </c>
      <c r="G19" s="58">
        <v>625500</v>
      </c>
      <c r="H19" s="58"/>
      <c r="I19" s="43" t="s">
        <v>298</v>
      </c>
      <c r="J19" s="68" t="s">
        <v>386</v>
      </c>
      <c r="K19" s="68" t="str">
        <f t="shared" si="2"/>
        <v xml:space="preserve">(AK ) - NOME </v>
      </c>
      <c r="L19" s="69">
        <v>625500</v>
      </c>
      <c r="M19" s="68" t="s">
        <v>300</v>
      </c>
      <c r="N19" s="58"/>
      <c r="R19" s="43" t="s">
        <v>295</v>
      </c>
      <c r="S19" s="43" t="s">
        <v>386</v>
      </c>
      <c r="T19" s="68" t="str">
        <f t="shared" si="3"/>
        <v xml:space="preserve">(AK) - NOME </v>
      </c>
      <c r="U19" s="70">
        <v>625500</v>
      </c>
      <c r="Y19" s="43" t="s">
        <v>295</v>
      </c>
      <c r="Z19" s="43" t="s">
        <v>386</v>
      </c>
      <c r="AA19" s="68" t="str">
        <f t="shared" si="4"/>
        <v xml:space="preserve">(AK) - NOME </v>
      </c>
      <c r="AB19" s="59">
        <v>625500</v>
      </c>
      <c r="AF19" s="68" t="s">
        <v>295</v>
      </c>
      <c r="AG19" s="68" t="s">
        <v>386</v>
      </c>
      <c r="AH19" s="68" t="str">
        <f t="shared" si="5"/>
        <v xml:space="preserve">(AK) - NOME </v>
      </c>
      <c r="AI19" s="71">
        <v>625500</v>
      </c>
      <c r="AK19" s="72" t="s">
        <v>295</v>
      </c>
      <c r="AL19" s="73" t="s">
        <v>387</v>
      </c>
      <c r="AM19" s="74" t="str">
        <f t="shared" si="6"/>
        <v>(AK) - NOME CENSUS ARE</v>
      </c>
      <c r="AN19" s="75">
        <v>625500</v>
      </c>
      <c r="AP19" s="72" t="s">
        <v>295</v>
      </c>
      <c r="AQ19" s="73" t="s">
        <v>387</v>
      </c>
      <c r="AR19" s="74" t="str">
        <f t="shared" si="7"/>
        <v>(AK) - NOME CENSUS ARE</v>
      </c>
      <c r="AS19" s="75">
        <v>625500</v>
      </c>
      <c r="AU19" s="35" t="s">
        <v>295</v>
      </c>
      <c r="AV19" s="36" t="s">
        <v>388</v>
      </c>
      <c r="AW19" s="74" t="str">
        <f t="shared" si="13"/>
        <v>(AK) - NOME</v>
      </c>
      <c r="AX19" s="76">
        <v>625500</v>
      </c>
      <c r="AZ19" s="37" t="s">
        <v>295</v>
      </c>
      <c r="BA19" s="38" t="s">
        <v>388</v>
      </c>
      <c r="BB19" s="74" t="str">
        <f t="shared" si="14"/>
        <v>(AK) - NOME</v>
      </c>
      <c r="BC19" s="76">
        <v>625500</v>
      </c>
      <c r="BE19" s="39" t="s">
        <v>295</v>
      </c>
      <c r="BF19" s="40" t="s">
        <v>383</v>
      </c>
      <c r="BG19" s="41" t="str">
        <f t="shared" si="8"/>
        <v>(AK) - MATANUSKA-SUSIT</v>
      </c>
      <c r="BH19" s="77">
        <v>636150</v>
      </c>
      <c r="BK19" s="37" t="s">
        <v>295</v>
      </c>
      <c r="BL19" s="38" t="s">
        <v>383</v>
      </c>
      <c r="BM19" s="43" t="str">
        <f t="shared" si="15"/>
        <v>(AK) - MATANUSKA-SUSIT</v>
      </c>
      <c r="BN19" s="76">
        <v>679650</v>
      </c>
      <c r="BQ19" s="38" t="s">
        <v>383</v>
      </c>
      <c r="BR19" s="37" t="s">
        <v>295</v>
      </c>
      <c r="BS19" s="78" t="str">
        <f t="shared" si="9"/>
        <v>(AK) - MATANUSKA-SUSIT</v>
      </c>
      <c r="BT19" s="79">
        <v>726525</v>
      </c>
      <c r="BW19" s="38" t="s">
        <v>389</v>
      </c>
      <c r="BX19" s="37" t="s">
        <v>295</v>
      </c>
      <c r="BY19" s="78" t="str">
        <f t="shared" si="10"/>
        <v>(AK) - MATANUSKA-SUSITNA BOROUGH</v>
      </c>
      <c r="BZ19" s="80">
        <v>765600</v>
      </c>
      <c r="CC19" s="43" t="s">
        <v>304</v>
      </c>
      <c r="CD19" s="43" t="s">
        <v>389</v>
      </c>
      <c r="CE19" s="37" t="s">
        <v>295</v>
      </c>
      <c r="CF19" s="81" t="str">
        <f t="shared" si="16"/>
        <v>(AK) - MATANUSKA-SUSITNA BOROUGH</v>
      </c>
      <c r="CG19" s="59">
        <v>822375</v>
      </c>
      <c r="CH19" s="59"/>
      <c r="CI19" s="263" t="s">
        <v>389</v>
      </c>
      <c r="CJ19" s="264" t="s">
        <v>295</v>
      </c>
      <c r="CK19" s="265">
        <v>970800</v>
      </c>
      <c r="CM19" s="43" t="str">
        <f t="shared" si="1"/>
        <v>(AK) - MATANUSKA-SUSITNA BOROUGH</v>
      </c>
      <c r="CN19" s="269">
        <f t="shared" si="0"/>
        <v>970800</v>
      </c>
      <c r="CO19" s="269"/>
      <c r="CQ19" s="266" t="s">
        <v>384</v>
      </c>
      <c r="CR19" s="267" t="s">
        <v>295</v>
      </c>
      <c r="CS19" s="268">
        <v>1089300</v>
      </c>
      <c r="CV19" s="43" t="str">
        <f t="shared" si="11"/>
        <v>(AK) - KUSILVAK CENSUS AREA</v>
      </c>
      <c r="CW19" s="70">
        <f t="shared" si="12"/>
        <v>1089300</v>
      </c>
    </row>
    <row r="20" spans="6:101" ht="15.75" thickBot="1" x14ac:dyDescent="0.3">
      <c r="F20" s="43" t="s">
        <v>390</v>
      </c>
      <c r="G20" s="58">
        <v>625500</v>
      </c>
      <c r="H20" s="58"/>
      <c r="I20" s="43" t="s">
        <v>298</v>
      </c>
      <c r="J20" s="68" t="s">
        <v>391</v>
      </c>
      <c r="K20" s="68" t="str">
        <f t="shared" si="2"/>
        <v xml:space="preserve">(AK ) - NORTH SLOPE </v>
      </c>
      <c r="L20" s="69">
        <v>625500</v>
      </c>
      <c r="M20" s="68" t="s">
        <v>300</v>
      </c>
      <c r="N20" s="58"/>
      <c r="R20" s="43" t="s">
        <v>295</v>
      </c>
      <c r="S20" s="43" t="s">
        <v>391</v>
      </c>
      <c r="T20" s="68" t="str">
        <f t="shared" si="3"/>
        <v xml:space="preserve">(AK) - NORTH SLOPE </v>
      </c>
      <c r="U20" s="70">
        <v>625500</v>
      </c>
      <c r="Y20" s="43" t="s">
        <v>295</v>
      </c>
      <c r="Z20" s="43" t="s">
        <v>391</v>
      </c>
      <c r="AA20" s="68" t="str">
        <f t="shared" si="4"/>
        <v xml:space="preserve">(AK) - NORTH SLOPE </v>
      </c>
      <c r="AB20" s="59">
        <v>625500</v>
      </c>
      <c r="AF20" s="68" t="s">
        <v>295</v>
      </c>
      <c r="AG20" s="68" t="s">
        <v>391</v>
      </c>
      <c r="AH20" s="68" t="str">
        <f t="shared" si="5"/>
        <v xml:space="preserve">(AK) - NORTH SLOPE </v>
      </c>
      <c r="AI20" s="71">
        <v>625500</v>
      </c>
      <c r="AK20" s="72" t="s">
        <v>295</v>
      </c>
      <c r="AL20" s="73" t="s">
        <v>392</v>
      </c>
      <c r="AM20" s="74" t="str">
        <f t="shared" si="6"/>
        <v>(AK) - NORTH SLOPE BOR</v>
      </c>
      <c r="AN20" s="75">
        <v>625500</v>
      </c>
      <c r="AP20" s="72" t="s">
        <v>295</v>
      </c>
      <c r="AQ20" s="73" t="s">
        <v>392</v>
      </c>
      <c r="AR20" s="74" t="str">
        <f t="shared" si="7"/>
        <v>(AK) - NORTH SLOPE BOR</v>
      </c>
      <c r="AS20" s="75">
        <v>625500</v>
      </c>
      <c r="AU20" s="35" t="s">
        <v>295</v>
      </c>
      <c r="AV20" s="36" t="s">
        <v>393</v>
      </c>
      <c r="AW20" s="74" t="str">
        <f t="shared" si="13"/>
        <v>(AK) - NORTH SLOPE</v>
      </c>
      <c r="AX20" s="76">
        <v>625500</v>
      </c>
      <c r="AZ20" s="37" t="s">
        <v>295</v>
      </c>
      <c r="BA20" s="38" t="s">
        <v>393</v>
      </c>
      <c r="BB20" s="74" t="str">
        <f t="shared" si="14"/>
        <v>(AK) - NORTH SLOPE</v>
      </c>
      <c r="BC20" s="76">
        <v>625500</v>
      </c>
      <c r="BE20" s="39" t="s">
        <v>295</v>
      </c>
      <c r="BF20" s="40" t="s">
        <v>388</v>
      </c>
      <c r="BG20" s="41" t="str">
        <f t="shared" si="8"/>
        <v>(AK) - NOME</v>
      </c>
      <c r="BH20" s="77">
        <v>636150</v>
      </c>
      <c r="BK20" s="37" t="s">
        <v>295</v>
      </c>
      <c r="BL20" s="38" t="s">
        <v>388</v>
      </c>
      <c r="BM20" s="43" t="str">
        <f t="shared" si="15"/>
        <v>(AK) - NOME</v>
      </c>
      <c r="BN20" s="76">
        <v>679650</v>
      </c>
      <c r="BQ20" s="38" t="s">
        <v>388</v>
      </c>
      <c r="BR20" s="37" t="s">
        <v>295</v>
      </c>
      <c r="BS20" s="78" t="str">
        <f t="shared" si="9"/>
        <v>(AK) - NOME</v>
      </c>
      <c r="BT20" s="79">
        <v>726525</v>
      </c>
      <c r="BW20" s="38" t="s">
        <v>394</v>
      </c>
      <c r="BX20" s="37" t="s">
        <v>295</v>
      </c>
      <c r="BY20" s="78" t="str">
        <f t="shared" si="10"/>
        <v>(AK) - NOME CENSUS AREA</v>
      </c>
      <c r="BZ20" s="80">
        <v>765600</v>
      </c>
      <c r="CC20" s="43" t="s">
        <v>304</v>
      </c>
      <c r="CD20" s="43" t="s">
        <v>394</v>
      </c>
      <c r="CE20" s="37" t="s">
        <v>295</v>
      </c>
      <c r="CF20" s="81" t="str">
        <f t="shared" si="16"/>
        <v>(AK) - NOME CENSUS AREA</v>
      </c>
      <c r="CG20" s="59">
        <v>822375</v>
      </c>
      <c r="CH20" s="59"/>
      <c r="CI20" s="266" t="s">
        <v>394</v>
      </c>
      <c r="CJ20" s="267" t="s">
        <v>295</v>
      </c>
      <c r="CK20" s="268">
        <v>970800</v>
      </c>
      <c r="CM20" s="43" t="str">
        <f t="shared" si="1"/>
        <v>(AK) - NOME CENSUS AREA</v>
      </c>
      <c r="CN20" s="269">
        <f t="shared" si="0"/>
        <v>970800</v>
      </c>
      <c r="CO20" s="269"/>
      <c r="CQ20" s="263" t="s">
        <v>389</v>
      </c>
      <c r="CR20" s="264" t="s">
        <v>295</v>
      </c>
      <c r="CS20" s="265">
        <v>1089300</v>
      </c>
      <c r="CV20" s="43" t="str">
        <f t="shared" si="11"/>
        <v>(AK) - LAKE AND PENINSULA BOROUGH</v>
      </c>
      <c r="CW20" s="70">
        <f t="shared" si="12"/>
        <v>1089300</v>
      </c>
    </row>
    <row r="21" spans="6:101" ht="15.75" thickBot="1" x14ac:dyDescent="0.3">
      <c r="F21" s="43" t="s">
        <v>395</v>
      </c>
      <c r="G21" s="58">
        <v>625500</v>
      </c>
      <c r="H21" s="58"/>
      <c r="I21" s="43" t="s">
        <v>298</v>
      </c>
      <c r="J21" s="68" t="s">
        <v>396</v>
      </c>
      <c r="K21" s="68" t="str">
        <f t="shared" si="2"/>
        <v xml:space="preserve">(AK ) - NORTHWEST ARCTIC </v>
      </c>
      <c r="L21" s="69">
        <v>625500</v>
      </c>
      <c r="M21" s="68" t="s">
        <v>300</v>
      </c>
      <c r="N21" s="58"/>
      <c r="R21" s="43" t="s">
        <v>295</v>
      </c>
      <c r="S21" s="43" t="s">
        <v>396</v>
      </c>
      <c r="T21" s="68" t="str">
        <f t="shared" si="3"/>
        <v xml:space="preserve">(AK) - NORTHWEST ARCTIC </v>
      </c>
      <c r="U21" s="70">
        <v>625500</v>
      </c>
      <c r="Y21" s="43" t="s">
        <v>295</v>
      </c>
      <c r="Z21" s="43" t="s">
        <v>397</v>
      </c>
      <c r="AA21" s="68" t="str">
        <f t="shared" si="4"/>
        <v xml:space="preserve">(AK) - NORTHWEST ARCTI </v>
      </c>
      <c r="AB21" s="59">
        <v>625500</v>
      </c>
      <c r="AF21" s="68" t="s">
        <v>295</v>
      </c>
      <c r="AG21" s="68" t="s">
        <v>397</v>
      </c>
      <c r="AH21" s="68" t="str">
        <f t="shared" si="5"/>
        <v xml:space="preserve">(AK) - NORTHWEST ARCTI </v>
      </c>
      <c r="AI21" s="71">
        <v>625500</v>
      </c>
      <c r="AK21" s="72" t="s">
        <v>295</v>
      </c>
      <c r="AL21" s="73" t="s">
        <v>398</v>
      </c>
      <c r="AM21" s="74" t="str">
        <f t="shared" si="6"/>
        <v>(AK) - NORTHWEST ARCTI</v>
      </c>
      <c r="AN21" s="75">
        <v>625500</v>
      </c>
      <c r="AP21" s="72" t="s">
        <v>295</v>
      </c>
      <c r="AQ21" s="73" t="s">
        <v>398</v>
      </c>
      <c r="AR21" s="74" t="str">
        <f t="shared" si="7"/>
        <v>(AK) - NORTHWEST ARCTI</v>
      </c>
      <c r="AS21" s="75">
        <v>625500</v>
      </c>
      <c r="AU21" s="35" t="s">
        <v>295</v>
      </c>
      <c r="AV21" s="36" t="s">
        <v>398</v>
      </c>
      <c r="AW21" s="74" t="str">
        <f t="shared" si="13"/>
        <v>(AK) - NORTHWEST ARCTI</v>
      </c>
      <c r="AX21" s="76">
        <v>625500</v>
      </c>
      <c r="AZ21" s="37" t="s">
        <v>295</v>
      </c>
      <c r="BA21" s="38" t="s">
        <v>398</v>
      </c>
      <c r="BB21" s="74" t="str">
        <f t="shared" si="14"/>
        <v>(AK) - NORTHWEST ARCTI</v>
      </c>
      <c r="BC21" s="76">
        <v>625500</v>
      </c>
      <c r="BE21" s="39" t="s">
        <v>295</v>
      </c>
      <c r="BF21" s="40" t="s">
        <v>393</v>
      </c>
      <c r="BG21" s="41" t="str">
        <f t="shared" si="8"/>
        <v>(AK) - NORTH SLOPE</v>
      </c>
      <c r="BH21" s="77">
        <v>636150</v>
      </c>
      <c r="BK21" s="37" t="s">
        <v>295</v>
      </c>
      <c r="BL21" s="38" t="s">
        <v>393</v>
      </c>
      <c r="BM21" s="43" t="str">
        <f t="shared" si="15"/>
        <v>(AK) - NORTH SLOPE</v>
      </c>
      <c r="BN21" s="76">
        <v>679650</v>
      </c>
      <c r="BQ21" s="38" t="s">
        <v>393</v>
      </c>
      <c r="BR21" s="37" t="s">
        <v>295</v>
      </c>
      <c r="BS21" s="78" t="str">
        <f t="shared" si="9"/>
        <v>(AK) - NORTH SLOPE</v>
      </c>
      <c r="BT21" s="79">
        <v>726525</v>
      </c>
      <c r="BW21" s="38" t="s">
        <v>399</v>
      </c>
      <c r="BX21" s="37" t="s">
        <v>295</v>
      </c>
      <c r="BY21" s="78" t="str">
        <f t="shared" si="10"/>
        <v>(AK) - NORTH SLOPE BOROUGH</v>
      </c>
      <c r="BZ21" s="80">
        <v>765600</v>
      </c>
      <c r="CC21" s="43" t="s">
        <v>304</v>
      </c>
      <c r="CD21" s="43" t="s">
        <v>399</v>
      </c>
      <c r="CE21" s="37" t="s">
        <v>295</v>
      </c>
      <c r="CF21" s="81" t="str">
        <f t="shared" si="16"/>
        <v>(AK) - NORTH SLOPE BOROUGH</v>
      </c>
      <c r="CG21" s="59">
        <v>822375</v>
      </c>
      <c r="CH21" s="59"/>
      <c r="CI21" s="263" t="s">
        <v>399</v>
      </c>
      <c r="CJ21" s="264" t="s">
        <v>295</v>
      </c>
      <c r="CK21" s="265">
        <v>970800</v>
      </c>
      <c r="CM21" s="43" t="str">
        <f t="shared" si="1"/>
        <v>(AK) - NORTH SLOPE BOROUGH</v>
      </c>
      <c r="CN21" s="269">
        <f t="shared" si="0"/>
        <v>970800</v>
      </c>
      <c r="CO21" s="269"/>
      <c r="CQ21" s="266" t="s">
        <v>394</v>
      </c>
      <c r="CR21" s="267" t="s">
        <v>295</v>
      </c>
      <c r="CS21" s="268">
        <v>1089300</v>
      </c>
      <c r="CV21" s="43" t="str">
        <f t="shared" si="11"/>
        <v>(AK) - MATANUSKA-SUSITNA BOROUGH</v>
      </c>
      <c r="CW21" s="70">
        <f t="shared" si="12"/>
        <v>1089300</v>
      </c>
    </row>
    <row r="22" spans="6:101" ht="15.75" thickBot="1" x14ac:dyDescent="0.3">
      <c r="F22" s="43" t="s">
        <v>400</v>
      </c>
      <c r="G22" s="58">
        <v>625500</v>
      </c>
      <c r="H22" s="58"/>
      <c r="I22" s="43" t="s">
        <v>298</v>
      </c>
      <c r="J22" s="68" t="s">
        <v>401</v>
      </c>
      <c r="K22" s="68" t="str">
        <f t="shared" si="2"/>
        <v xml:space="preserve">(AK ) - PETERSBURG </v>
      </c>
      <c r="L22" s="69">
        <v>625500</v>
      </c>
      <c r="M22" s="68" t="s">
        <v>300</v>
      </c>
      <c r="N22" s="58"/>
      <c r="R22" s="43" t="s">
        <v>295</v>
      </c>
      <c r="S22" s="43" t="s">
        <v>401</v>
      </c>
      <c r="T22" s="68" t="str">
        <f t="shared" si="3"/>
        <v xml:space="preserve">(AK) - PETERSBURG </v>
      </c>
      <c r="U22" s="70">
        <v>625500</v>
      </c>
      <c r="Y22" s="43" t="s">
        <v>295</v>
      </c>
      <c r="Z22" s="43" t="s">
        <v>402</v>
      </c>
      <c r="AA22" s="68" t="str">
        <f t="shared" si="4"/>
        <v xml:space="preserve">(AK) - PETERSBURG CENS </v>
      </c>
      <c r="AB22" s="59">
        <v>625500</v>
      </c>
      <c r="AF22" s="68" t="s">
        <v>295</v>
      </c>
      <c r="AG22" s="68" t="s">
        <v>402</v>
      </c>
      <c r="AH22" s="68" t="str">
        <f t="shared" si="5"/>
        <v xml:space="preserve">(AK) - PETERSBURG CENS </v>
      </c>
      <c r="AI22" s="71">
        <v>625500</v>
      </c>
      <c r="AK22" s="72" t="s">
        <v>295</v>
      </c>
      <c r="AL22" s="73" t="s">
        <v>403</v>
      </c>
      <c r="AM22" s="74" t="str">
        <f t="shared" si="6"/>
        <v>(AK) - PETERSBURG CENS</v>
      </c>
      <c r="AN22" s="75">
        <v>625500</v>
      </c>
      <c r="AP22" s="72" t="s">
        <v>295</v>
      </c>
      <c r="AQ22" s="73" t="s">
        <v>403</v>
      </c>
      <c r="AR22" s="74" t="str">
        <f t="shared" si="7"/>
        <v>(AK) - PETERSBURG CENS</v>
      </c>
      <c r="AS22" s="75">
        <v>625500</v>
      </c>
      <c r="AU22" s="35" t="s">
        <v>295</v>
      </c>
      <c r="AV22" s="36" t="s">
        <v>403</v>
      </c>
      <c r="AW22" s="74" t="str">
        <f t="shared" si="13"/>
        <v>(AK) - PETERSBURG CENS</v>
      </c>
      <c r="AX22" s="76">
        <v>625500</v>
      </c>
      <c r="AZ22" s="37" t="s">
        <v>295</v>
      </c>
      <c r="BA22" s="38" t="s">
        <v>403</v>
      </c>
      <c r="BB22" s="74" t="str">
        <f t="shared" si="14"/>
        <v>(AK) - PETERSBURG CENS</v>
      </c>
      <c r="BC22" s="76">
        <v>625500</v>
      </c>
      <c r="BE22" s="39" t="s">
        <v>295</v>
      </c>
      <c r="BF22" s="40" t="s">
        <v>398</v>
      </c>
      <c r="BG22" s="41" t="str">
        <f t="shared" si="8"/>
        <v>(AK) - NORTHWEST ARCTI</v>
      </c>
      <c r="BH22" s="77">
        <v>636150</v>
      </c>
      <c r="BK22" s="37" t="s">
        <v>295</v>
      </c>
      <c r="BL22" s="38" t="s">
        <v>398</v>
      </c>
      <c r="BM22" s="43" t="str">
        <f t="shared" si="15"/>
        <v>(AK) - NORTHWEST ARCTI</v>
      </c>
      <c r="BN22" s="76">
        <v>679650</v>
      </c>
      <c r="BQ22" s="38" t="s">
        <v>398</v>
      </c>
      <c r="BR22" s="37" t="s">
        <v>295</v>
      </c>
      <c r="BS22" s="78" t="str">
        <f t="shared" si="9"/>
        <v>(AK) - NORTHWEST ARCTI</v>
      </c>
      <c r="BT22" s="79">
        <v>726525</v>
      </c>
      <c r="BW22" s="38" t="s">
        <v>404</v>
      </c>
      <c r="BX22" s="37" t="s">
        <v>295</v>
      </c>
      <c r="BY22" s="78" t="str">
        <f t="shared" si="10"/>
        <v>(AK) - NORTHWEST ARCTIC BOROUGH</v>
      </c>
      <c r="BZ22" s="80">
        <v>765600</v>
      </c>
      <c r="CC22" s="43" t="s">
        <v>304</v>
      </c>
      <c r="CD22" s="43" t="s">
        <v>404</v>
      </c>
      <c r="CE22" s="37" t="s">
        <v>295</v>
      </c>
      <c r="CF22" s="81" t="str">
        <f t="shared" si="16"/>
        <v>(AK) - NORTHWEST ARCTIC BOROUGH</v>
      </c>
      <c r="CG22" s="59">
        <v>822375</v>
      </c>
      <c r="CH22" s="59"/>
      <c r="CI22" s="266" t="s">
        <v>404</v>
      </c>
      <c r="CJ22" s="267" t="s">
        <v>295</v>
      </c>
      <c r="CK22" s="268">
        <v>970800</v>
      </c>
      <c r="CM22" s="43" t="str">
        <f t="shared" si="1"/>
        <v>(AK) - NORTHWEST ARCTIC BOROUGH</v>
      </c>
      <c r="CN22" s="269">
        <f t="shared" si="0"/>
        <v>970800</v>
      </c>
      <c r="CO22" s="269"/>
      <c r="CQ22" s="263" t="s">
        <v>399</v>
      </c>
      <c r="CR22" s="264" t="s">
        <v>295</v>
      </c>
      <c r="CS22" s="265">
        <v>1089300</v>
      </c>
      <c r="CV22" s="43" t="str">
        <f t="shared" si="11"/>
        <v>(AK) - NOME CENSUS AREA</v>
      </c>
      <c r="CW22" s="70">
        <f t="shared" si="12"/>
        <v>1089300</v>
      </c>
    </row>
    <row r="23" spans="6:101" ht="15.75" thickBot="1" x14ac:dyDescent="0.3">
      <c r="F23" s="43" t="s">
        <v>405</v>
      </c>
      <c r="G23" s="58">
        <v>625500</v>
      </c>
      <c r="H23" s="58"/>
      <c r="I23" s="43" t="s">
        <v>298</v>
      </c>
      <c r="J23" s="68" t="s">
        <v>406</v>
      </c>
      <c r="K23" s="68" t="str">
        <f t="shared" si="2"/>
        <v xml:space="preserve">(AK ) - PRINCE OF WALES-HYDER </v>
      </c>
      <c r="L23" s="69">
        <v>625500</v>
      </c>
      <c r="M23" s="68" t="s">
        <v>300</v>
      </c>
      <c r="N23" s="58"/>
      <c r="R23" s="43" t="s">
        <v>295</v>
      </c>
      <c r="S23" s="43" t="s">
        <v>406</v>
      </c>
      <c r="T23" s="68" t="str">
        <f t="shared" si="3"/>
        <v xml:space="preserve">(AK) - PRINCE OF WALES-HYDER </v>
      </c>
      <c r="U23" s="70">
        <v>625500</v>
      </c>
      <c r="Y23" s="43" t="s">
        <v>295</v>
      </c>
      <c r="Z23" s="43" t="s">
        <v>407</v>
      </c>
      <c r="AA23" s="68" t="str">
        <f t="shared" si="4"/>
        <v xml:space="preserve">(AK) - PRINCE OF WALES </v>
      </c>
      <c r="AB23" s="59">
        <v>625500</v>
      </c>
      <c r="AF23" s="68" t="s">
        <v>295</v>
      </c>
      <c r="AG23" s="68" t="s">
        <v>407</v>
      </c>
      <c r="AH23" s="68" t="str">
        <f t="shared" si="5"/>
        <v xml:space="preserve">(AK) - PRINCE OF WALES </v>
      </c>
      <c r="AI23" s="71">
        <v>625500</v>
      </c>
      <c r="AK23" s="72" t="s">
        <v>295</v>
      </c>
      <c r="AL23" s="73" t="s">
        <v>408</v>
      </c>
      <c r="AM23" s="74" t="str">
        <f t="shared" si="6"/>
        <v>(AK) - PRINCE OF WALES</v>
      </c>
      <c r="AN23" s="75">
        <v>625500</v>
      </c>
      <c r="AP23" s="72" t="s">
        <v>295</v>
      </c>
      <c r="AQ23" s="73" t="s">
        <v>408</v>
      </c>
      <c r="AR23" s="74" t="str">
        <f t="shared" si="7"/>
        <v>(AK) - PRINCE OF WALES</v>
      </c>
      <c r="AS23" s="75">
        <v>625500</v>
      </c>
      <c r="AU23" s="35" t="s">
        <v>295</v>
      </c>
      <c r="AV23" s="36" t="s">
        <v>408</v>
      </c>
      <c r="AW23" s="74" t="str">
        <f t="shared" si="13"/>
        <v>(AK) - PRINCE OF WALES</v>
      </c>
      <c r="AX23" s="76">
        <v>625500</v>
      </c>
      <c r="AZ23" s="37" t="s">
        <v>295</v>
      </c>
      <c r="BA23" s="38" t="s">
        <v>408</v>
      </c>
      <c r="BB23" s="74" t="str">
        <f t="shared" si="14"/>
        <v>(AK) - PRINCE OF WALES</v>
      </c>
      <c r="BC23" s="76">
        <v>625500</v>
      </c>
      <c r="BE23" s="39" t="s">
        <v>295</v>
      </c>
      <c r="BF23" s="40" t="s">
        <v>403</v>
      </c>
      <c r="BG23" s="41" t="str">
        <f t="shared" si="8"/>
        <v>(AK) - PETERSBURG CENS</v>
      </c>
      <c r="BH23" s="77">
        <v>636150</v>
      </c>
      <c r="BK23" s="37" t="s">
        <v>295</v>
      </c>
      <c r="BL23" s="38" t="s">
        <v>403</v>
      </c>
      <c r="BM23" s="43" t="str">
        <f t="shared" si="15"/>
        <v>(AK) - PETERSBURG CENS</v>
      </c>
      <c r="BN23" s="76">
        <v>679650</v>
      </c>
      <c r="BQ23" s="38" t="s">
        <v>403</v>
      </c>
      <c r="BR23" s="37" t="s">
        <v>295</v>
      </c>
      <c r="BS23" s="78" t="str">
        <f t="shared" si="9"/>
        <v>(AK) - PETERSBURG CENS</v>
      </c>
      <c r="BT23" s="79">
        <v>726525</v>
      </c>
      <c r="BW23" s="38" t="s">
        <v>409</v>
      </c>
      <c r="BX23" s="37" t="s">
        <v>295</v>
      </c>
      <c r="BY23" s="78" t="str">
        <f t="shared" si="10"/>
        <v>(AK) - PETERSBURG CENSUS AREA</v>
      </c>
      <c r="BZ23" s="80">
        <v>765600</v>
      </c>
      <c r="CC23" s="43" t="s">
        <v>304</v>
      </c>
      <c r="CD23" s="43" t="s">
        <v>409</v>
      </c>
      <c r="CE23" s="37" t="s">
        <v>295</v>
      </c>
      <c r="CF23" s="81" t="str">
        <f t="shared" si="16"/>
        <v>(AK) - PETERSBURG CENSUS AREA</v>
      </c>
      <c r="CG23" s="59">
        <v>822375</v>
      </c>
      <c r="CH23" s="59"/>
      <c r="CI23" s="263" t="s">
        <v>409</v>
      </c>
      <c r="CJ23" s="264" t="s">
        <v>295</v>
      </c>
      <c r="CK23" s="265">
        <v>970800</v>
      </c>
      <c r="CM23" s="43" t="str">
        <f t="shared" si="1"/>
        <v>(AK) - PETERSBURG CENSUS AREA</v>
      </c>
      <c r="CN23" s="269">
        <f t="shared" si="0"/>
        <v>970800</v>
      </c>
      <c r="CO23" s="269"/>
      <c r="CQ23" s="266" t="s">
        <v>404</v>
      </c>
      <c r="CR23" s="267" t="s">
        <v>295</v>
      </c>
      <c r="CS23" s="268">
        <v>1089300</v>
      </c>
      <c r="CV23" s="43" t="str">
        <f t="shared" si="11"/>
        <v>(AK) - NORTH SLOPE BOROUGH</v>
      </c>
      <c r="CW23" s="70">
        <f t="shared" si="12"/>
        <v>1089300</v>
      </c>
    </row>
    <row r="24" spans="6:101" ht="15.75" thickBot="1" x14ac:dyDescent="0.3">
      <c r="F24" s="43" t="s">
        <v>410</v>
      </c>
      <c r="G24" s="58">
        <v>625500</v>
      </c>
      <c r="H24" s="58"/>
      <c r="I24" s="43" t="s">
        <v>298</v>
      </c>
      <c r="J24" s="68" t="s">
        <v>411</v>
      </c>
      <c r="K24" s="68" t="str">
        <f t="shared" si="2"/>
        <v xml:space="preserve">(AK ) - SITKA </v>
      </c>
      <c r="L24" s="69">
        <v>625500</v>
      </c>
      <c r="M24" s="68" t="s">
        <v>300</v>
      </c>
      <c r="N24" s="58"/>
      <c r="R24" s="43" t="s">
        <v>295</v>
      </c>
      <c r="S24" s="43" t="s">
        <v>411</v>
      </c>
      <c r="T24" s="68" t="str">
        <f t="shared" si="3"/>
        <v xml:space="preserve">(AK) - SITKA </v>
      </c>
      <c r="U24" s="70">
        <v>625500</v>
      </c>
      <c r="Y24" s="43" t="s">
        <v>295</v>
      </c>
      <c r="Z24" s="43" t="s">
        <v>411</v>
      </c>
      <c r="AA24" s="68" t="str">
        <f t="shared" si="4"/>
        <v xml:space="preserve">(AK) - SITKA </v>
      </c>
      <c r="AB24" s="59">
        <v>625500</v>
      </c>
      <c r="AF24" s="68" t="s">
        <v>295</v>
      </c>
      <c r="AG24" s="68" t="s">
        <v>411</v>
      </c>
      <c r="AH24" s="68" t="str">
        <f t="shared" si="5"/>
        <v xml:space="preserve">(AK) - SITKA </v>
      </c>
      <c r="AI24" s="71">
        <v>625500</v>
      </c>
      <c r="AK24" s="72" t="s">
        <v>295</v>
      </c>
      <c r="AL24" s="73" t="s">
        <v>412</v>
      </c>
      <c r="AM24" s="74" t="str">
        <f t="shared" si="6"/>
        <v>(AK) - SITKA CITY AND</v>
      </c>
      <c r="AN24" s="75">
        <v>625500</v>
      </c>
      <c r="AP24" s="72" t="s">
        <v>295</v>
      </c>
      <c r="AQ24" s="73" t="s">
        <v>412</v>
      </c>
      <c r="AR24" s="74" t="str">
        <f t="shared" si="7"/>
        <v>(AK) - SITKA CITY AND</v>
      </c>
      <c r="AS24" s="75">
        <v>625500</v>
      </c>
      <c r="AU24" s="35" t="s">
        <v>295</v>
      </c>
      <c r="AV24" s="36" t="s">
        <v>413</v>
      </c>
      <c r="AW24" s="74" t="str">
        <f t="shared" si="13"/>
        <v>(AK) - SITKA</v>
      </c>
      <c r="AX24" s="76">
        <v>625500</v>
      </c>
      <c r="AZ24" s="37" t="s">
        <v>295</v>
      </c>
      <c r="BA24" s="38" t="s">
        <v>413</v>
      </c>
      <c r="BB24" s="74" t="str">
        <f t="shared" si="14"/>
        <v>(AK) - SITKA</v>
      </c>
      <c r="BC24" s="76">
        <v>625500</v>
      </c>
      <c r="BE24" s="39" t="s">
        <v>295</v>
      </c>
      <c r="BF24" s="40" t="s">
        <v>408</v>
      </c>
      <c r="BG24" s="41" t="str">
        <f t="shared" si="8"/>
        <v>(AK) - PRINCE OF WALES</v>
      </c>
      <c r="BH24" s="77">
        <v>636150</v>
      </c>
      <c r="BK24" s="37" t="s">
        <v>295</v>
      </c>
      <c r="BL24" s="38" t="s">
        <v>408</v>
      </c>
      <c r="BM24" s="43" t="str">
        <f t="shared" si="15"/>
        <v>(AK) - PRINCE OF WALES</v>
      </c>
      <c r="BN24" s="76">
        <v>679650</v>
      </c>
      <c r="BQ24" s="38" t="s">
        <v>408</v>
      </c>
      <c r="BR24" s="37" t="s">
        <v>295</v>
      </c>
      <c r="BS24" s="78" t="str">
        <f t="shared" si="9"/>
        <v>(AK) - PRINCE OF WALES</v>
      </c>
      <c r="BT24" s="79">
        <v>726525</v>
      </c>
      <c r="BW24" s="38" t="s">
        <v>414</v>
      </c>
      <c r="BX24" s="37" t="s">
        <v>295</v>
      </c>
      <c r="BY24" s="78" t="str">
        <f t="shared" si="10"/>
        <v>(AK) - PRINCE OF WALES-HYDER CENSUS AREA</v>
      </c>
      <c r="BZ24" s="80">
        <v>765600</v>
      </c>
      <c r="CC24" s="43" t="s">
        <v>304</v>
      </c>
      <c r="CD24" s="43" t="s">
        <v>414</v>
      </c>
      <c r="CE24" s="37" t="s">
        <v>295</v>
      </c>
      <c r="CF24" s="81" t="str">
        <f t="shared" si="16"/>
        <v>(AK) - PRINCE OF WALES-HYDER CENSUS AREA</v>
      </c>
      <c r="CG24" s="59">
        <v>822375</v>
      </c>
      <c r="CH24" s="59"/>
      <c r="CI24" s="266" t="s">
        <v>414</v>
      </c>
      <c r="CJ24" s="267" t="s">
        <v>295</v>
      </c>
      <c r="CK24" s="268">
        <v>970800</v>
      </c>
      <c r="CM24" s="43" t="str">
        <f t="shared" si="1"/>
        <v>(AK) - PRINCE OF WALES-HYDER CENSUS AREA</v>
      </c>
      <c r="CN24" s="269">
        <f t="shared" si="0"/>
        <v>970800</v>
      </c>
      <c r="CO24" s="269"/>
      <c r="CQ24" s="263" t="s">
        <v>409</v>
      </c>
      <c r="CR24" s="264" t="s">
        <v>295</v>
      </c>
      <c r="CS24" s="265">
        <v>1089300</v>
      </c>
      <c r="CV24" s="43" t="str">
        <f t="shared" si="11"/>
        <v>(AK) - NORTHWEST ARCTIC BOROUGH</v>
      </c>
      <c r="CW24" s="70">
        <f t="shared" si="12"/>
        <v>1089300</v>
      </c>
    </row>
    <row r="25" spans="6:101" ht="15.75" thickBot="1" x14ac:dyDescent="0.3">
      <c r="F25" s="43" t="s">
        <v>415</v>
      </c>
      <c r="G25" s="58">
        <v>625500</v>
      </c>
      <c r="H25" s="58"/>
      <c r="I25" s="43" t="s">
        <v>298</v>
      </c>
      <c r="J25" s="68" t="s">
        <v>416</v>
      </c>
      <c r="K25" s="68" t="str">
        <f t="shared" si="2"/>
        <v xml:space="preserve">(AK ) - SKAGWAY MUNICIPALITY </v>
      </c>
      <c r="L25" s="69">
        <v>625500</v>
      </c>
      <c r="M25" s="68" t="s">
        <v>300</v>
      </c>
      <c r="N25" s="58"/>
      <c r="R25" s="43" t="s">
        <v>295</v>
      </c>
      <c r="S25" s="43" t="s">
        <v>416</v>
      </c>
      <c r="T25" s="68" t="str">
        <f t="shared" si="3"/>
        <v xml:space="preserve">(AK) - SKAGWAY MUNICIPALITY </v>
      </c>
      <c r="U25" s="70">
        <v>625500</v>
      </c>
      <c r="Y25" s="43" t="s">
        <v>295</v>
      </c>
      <c r="Z25" s="43" t="s">
        <v>417</v>
      </c>
      <c r="AA25" s="68" t="str">
        <f t="shared" si="4"/>
        <v xml:space="preserve">(AK) - SKAGWAY MUNICIP </v>
      </c>
      <c r="AB25" s="59">
        <v>625500</v>
      </c>
      <c r="AF25" s="68" t="s">
        <v>295</v>
      </c>
      <c r="AG25" s="68" t="s">
        <v>417</v>
      </c>
      <c r="AH25" s="68" t="str">
        <f t="shared" si="5"/>
        <v xml:space="preserve">(AK) - SKAGWAY MUNICIP </v>
      </c>
      <c r="AI25" s="71">
        <v>625500</v>
      </c>
      <c r="AK25" s="72" t="s">
        <v>295</v>
      </c>
      <c r="AL25" s="73" t="s">
        <v>418</v>
      </c>
      <c r="AM25" s="74" t="str">
        <f t="shared" si="6"/>
        <v>(AK) - SKAGWAY MUNICIP</v>
      </c>
      <c r="AN25" s="75">
        <v>625500</v>
      </c>
      <c r="AP25" s="72" t="s">
        <v>295</v>
      </c>
      <c r="AQ25" s="73" t="s">
        <v>418</v>
      </c>
      <c r="AR25" s="74" t="str">
        <f t="shared" si="7"/>
        <v>(AK) - SKAGWAY MUNICIP</v>
      </c>
      <c r="AS25" s="75">
        <v>625500</v>
      </c>
      <c r="AU25" s="35" t="s">
        <v>295</v>
      </c>
      <c r="AV25" s="36" t="s">
        <v>418</v>
      </c>
      <c r="AW25" s="74" t="str">
        <f t="shared" si="13"/>
        <v>(AK) - SKAGWAY MUNICIP</v>
      </c>
      <c r="AX25" s="76">
        <v>625500</v>
      </c>
      <c r="AZ25" s="37" t="s">
        <v>295</v>
      </c>
      <c r="BA25" s="38" t="s">
        <v>418</v>
      </c>
      <c r="BB25" s="74" t="str">
        <f t="shared" si="14"/>
        <v>(AK) - SKAGWAY MUNICIP</v>
      </c>
      <c r="BC25" s="76">
        <v>625500</v>
      </c>
      <c r="BE25" s="39" t="s">
        <v>295</v>
      </c>
      <c r="BF25" s="40" t="s">
        <v>413</v>
      </c>
      <c r="BG25" s="41" t="str">
        <f t="shared" si="8"/>
        <v>(AK) - SITKA</v>
      </c>
      <c r="BH25" s="77">
        <v>636150</v>
      </c>
      <c r="BK25" s="37" t="s">
        <v>295</v>
      </c>
      <c r="BL25" s="38" t="s">
        <v>413</v>
      </c>
      <c r="BM25" s="43" t="str">
        <f t="shared" si="15"/>
        <v>(AK) - SITKA</v>
      </c>
      <c r="BN25" s="76">
        <v>679650</v>
      </c>
      <c r="BQ25" s="38" t="s">
        <v>413</v>
      </c>
      <c r="BR25" s="37" t="s">
        <v>295</v>
      </c>
      <c r="BS25" s="78" t="str">
        <f t="shared" si="9"/>
        <v>(AK) - SITKA</v>
      </c>
      <c r="BT25" s="79">
        <v>726525</v>
      </c>
      <c r="BW25" s="38" t="s">
        <v>419</v>
      </c>
      <c r="BX25" s="37" t="s">
        <v>295</v>
      </c>
      <c r="BY25" s="78" t="str">
        <f t="shared" si="10"/>
        <v>(AK) - SITKA CITY AND BOROUGH</v>
      </c>
      <c r="BZ25" s="80">
        <v>765600</v>
      </c>
      <c r="CC25" s="43" t="s">
        <v>304</v>
      </c>
      <c r="CD25" s="43" t="s">
        <v>419</v>
      </c>
      <c r="CE25" s="37" t="s">
        <v>295</v>
      </c>
      <c r="CF25" s="81" t="str">
        <f t="shared" si="16"/>
        <v>(AK) - SITKA CITY AND BOROUGH</v>
      </c>
      <c r="CG25" s="59">
        <v>822375</v>
      </c>
      <c r="CH25" s="59"/>
      <c r="CI25" s="263" t="s">
        <v>419</v>
      </c>
      <c r="CJ25" s="264" t="s">
        <v>295</v>
      </c>
      <c r="CK25" s="265">
        <v>970800</v>
      </c>
      <c r="CM25" s="43" t="str">
        <f t="shared" si="1"/>
        <v>(AK) - SITKA CITY AND BOROUGH</v>
      </c>
      <c r="CN25" s="269">
        <f t="shared" si="0"/>
        <v>970800</v>
      </c>
      <c r="CO25" s="269"/>
      <c r="CQ25" s="266" t="s">
        <v>414</v>
      </c>
      <c r="CR25" s="267" t="s">
        <v>295</v>
      </c>
      <c r="CS25" s="268">
        <v>1089300</v>
      </c>
      <c r="CV25" s="43" t="str">
        <f t="shared" si="11"/>
        <v>(AK) - PETERSBURG CENSUS AREA</v>
      </c>
      <c r="CW25" s="70">
        <f t="shared" si="12"/>
        <v>1089300</v>
      </c>
    </row>
    <row r="26" spans="6:101" ht="15.75" thickBot="1" x14ac:dyDescent="0.3">
      <c r="F26" s="43" t="s">
        <v>420</v>
      </c>
      <c r="G26" s="58">
        <v>625500</v>
      </c>
      <c r="H26" s="58"/>
      <c r="I26" s="43" t="s">
        <v>298</v>
      </c>
      <c r="J26" s="68" t="s">
        <v>421</v>
      </c>
      <c r="K26" s="68" t="str">
        <f t="shared" si="2"/>
        <v xml:space="preserve">(AK ) - SOUTHEAST FAIRBANKS </v>
      </c>
      <c r="L26" s="69">
        <v>625500</v>
      </c>
      <c r="M26" s="68" t="s">
        <v>300</v>
      </c>
      <c r="N26" s="58"/>
      <c r="R26" s="43" t="s">
        <v>295</v>
      </c>
      <c r="S26" s="43" t="s">
        <v>421</v>
      </c>
      <c r="T26" s="68" t="str">
        <f t="shared" si="3"/>
        <v xml:space="preserve">(AK) - SOUTHEAST FAIRBANKS </v>
      </c>
      <c r="U26" s="70">
        <v>625500</v>
      </c>
      <c r="Y26" s="43" t="s">
        <v>295</v>
      </c>
      <c r="Z26" s="43" t="s">
        <v>422</v>
      </c>
      <c r="AA26" s="68" t="str">
        <f t="shared" si="4"/>
        <v xml:space="preserve">(AK) - SOUTHEAST FAIRB </v>
      </c>
      <c r="AB26" s="59">
        <v>625500</v>
      </c>
      <c r="AF26" s="68" t="s">
        <v>295</v>
      </c>
      <c r="AG26" s="68" t="s">
        <v>422</v>
      </c>
      <c r="AH26" s="68" t="str">
        <f t="shared" si="5"/>
        <v xml:space="preserve">(AK) - SOUTHEAST FAIRB </v>
      </c>
      <c r="AI26" s="71">
        <v>625500</v>
      </c>
      <c r="AK26" s="72" t="s">
        <v>295</v>
      </c>
      <c r="AL26" s="73" t="s">
        <v>423</v>
      </c>
      <c r="AM26" s="74" t="str">
        <f t="shared" si="6"/>
        <v>(AK) - SOUTHEAST FAIRB</v>
      </c>
      <c r="AN26" s="75">
        <v>625500</v>
      </c>
      <c r="AP26" s="72" t="s">
        <v>295</v>
      </c>
      <c r="AQ26" s="73" t="s">
        <v>423</v>
      </c>
      <c r="AR26" s="74" t="str">
        <f t="shared" si="7"/>
        <v>(AK) - SOUTHEAST FAIRB</v>
      </c>
      <c r="AS26" s="75">
        <v>625500</v>
      </c>
      <c r="AU26" s="35" t="s">
        <v>295</v>
      </c>
      <c r="AV26" s="36" t="s">
        <v>423</v>
      </c>
      <c r="AW26" s="74" t="str">
        <f t="shared" si="13"/>
        <v>(AK) - SOUTHEAST FAIRB</v>
      </c>
      <c r="AX26" s="76">
        <v>625500</v>
      </c>
      <c r="AZ26" s="37" t="s">
        <v>295</v>
      </c>
      <c r="BA26" s="38" t="s">
        <v>423</v>
      </c>
      <c r="BB26" s="74" t="str">
        <f t="shared" si="14"/>
        <v>(AK) - SOUTHEAST FAIRB</v>
      </c>
      <c r="BC26" s="76">
        <v>625500</v>
      </c>
      <c r="BE26" s="39" t="s">
        <v>295</v>
      </c>
      <c r="BF26" s="40" t="s">
        <v>418</v>
      </c>
      <c r="BG26" s="41" t="str">
        <f t="shared" si="8"/>
        <v>(AK) - SKAGWAY MUNICIP</v>
      </c>
      <c r="BH26" s="77">
        <v>636150</v>
      </c>
      <c r="BK26" s="37" t="s">
        <v>295</v>
      </c>
      <c r="BL26" s="38" t="s">
        <v>418</v>
      </c>
      <c r="BM26" s="43" t="str">
        <f t="shared" si="15"/>
        <v>(AK) - SKAGWAY MUNICIP</v>
      </c>
      <c r="BN26" s="76">
        <v>679650</v>
      </c>
      <c r="BQ26" s="38" t="s">
        <v>418</v>
      </c>
      <c r="BR26" s="37" t="s">
        <v>295</v>
      </c>
      <c r="BS26" s="78" t="str">
        <f t="shared" si="9"/>
        <v>(AK) - SKAGWAY MUNICIP</v>
      </c>
      <c r="BT26" s="79">
        <v>726525</v>
      </c>
      <c r="BW26" s="38" t="s">
        <v>424</v>
      </c>
      <c r="BX26" s="37" t="s">
        <v>295</v>
      </c>
      <c r="BY26" s="78" t="str">
        <f t="shared" si="10"/>
        <v>(AK) - SKAGWAY MUNICIPALITY</v>
      </c>
      <c r="BZ26" s="80">
        <v>765600</v>
      </c>
      <c r="CC26" s="43" t="s">
        <v>304</v>
      </c>
      <c r="CD26" s="43" t="s">
        <v>424</v>
      </c>
      <c r="CE26" s="37" t="s">
        <v>295</v>
      </c>
      <c r="CF26" s="81" t="str">
        <f t="shared" si="16"/>
        <v>(AK) - SKAGWAY MUNICIPALITY</v>
      </c>
      <c r="CG26" s="59">
        <v>822375</v>
      </c>
      <c r="CH26" s="59"/>
      <c r="CI26" s="266" t="s">
        <v>424</v>
      </c>
      <c r="CJ26" s="267" t="s">
        <v>295</v>
      </c>
      <c r="CK26" s="268">
        <v>970800</v>
      </c>
      <c r="CM26" s="43" t="str">
        <f t="shared" si="1"/>
        <v>(AK) - SKAGWAY MUNICIPALITY</v>
      </c>
      <c r="CN26" s="269">
        <f t="shared" si="0"/>
        <v>970800</v>
      </c>
      <c r="CO26" s="269"/>
      <c r="CQ26" s="263" t="s">
        <v>419</v>
      </c>
      <c r="CR26" s="264" t="s">
        <v>295</v>
      </c>
      <c r="CS26" s="265">
        <v>1089300</v>
      </c>
      <c r="CV26" s="43" t="str">
        <f t="shared" si="11"/>
        <v>(AK) - PRINCE OF WALES-HYDER CENSUS AREA</v>
      </c>
      <c r="CW26" s="70">
        <f t="shared" si="12"/>
        <v>1089300</v>
      </c>
    </row>
    <row r="27" spans="6:101" ht="15.75" thickBot="1" x14ac:dyDescent="0.3">
      <c r="F27" s="43" t="s">
        <v>425</v>
      </c>
      <c r="G27" s="58">
        <v>625500</v>
      </c>
      <c r="H27" s="58"/>
      <c r="I27" s="43" t="s">
        <v>298</v>
      </c>
      <c r="J27" s="68" t="s">
        <v>426</v>
      </c>
      <c r="K27" s="68" t="str">
        <f t="shared" si="2"/>
        <v xml:space="preserve">(AK ) - VALDEZ-CORDOVA </v>
      </c>
      <c r="L27" s="69">
        <v>625500</v>
      </c>
      <c r="M27" s="68" t="s">
        <v>300</v>
      </c>
      <c r="N27" s="58"/>
      <c r="R27" s="43" t="s">
        <v>295</v>
      </c>
      <c r="S27" s="43" t="s">
        <v>426</v>
      </c>
      <c r="T27" s="68" t="str">
        <f t="shared" si="3"/>
        <v xml:space="preserve">(AK) - VALDEZ-CORDOVA </v>
      </c>
      <c r="U27" s="70">
        <v>625500</v>
      </c>
      <c r="Y27" s="43" t="s">
        <v>295</v>
      </c>
      <c r="Z27" s="43" t="s">
        <v>426</v>
      </c>
      <c r="AA27" s="68" t="str">
        <f t="shared" si="4"/>
        <v xml:space="preserve">(AK) - VALDEZ-CORDOVA </v>
      </c>
      <c r="AB27" s="59">
        <v>625500</v>
      </c>
      <c r="AF27" s="68" t="s">
        <v>295</v>
      </c>
      <c r="AG27" s="68" t="s">
        <v>426</v>
      </c>
      <c r="AH27" s="68" t="str">
        <f t="shared" si="5"/>
        <v xml:space="preserve">(AK) - VALDEZ-CORDOVA </v>
      </c>
      <c r="AI27" s="71">
        <v>625500</v>
      </c>
      <c r="AK27" s="72" t="s">
        <v>295</v>
      </c>
      <c r="AL27" s="73" t="s">
        <v>427</v>
      </c>
      <c r="AM27" s="74" t="str">
        <f t="shared" si="6"/>
        <v>(AK) - VALDEZ-CORDOVA</v>
      </c>
      <c r="AN27" s="75">
        <v>625500</v>
      </c>
      <c r="AP27" s="72" t="s">
        <v>295</v>
      </c>
      <c r="AQ27" s="73" t="s">
        <v>427</v>
      </c>
      <c r="AR27" s="74" t="str">
        <f t="shared" si="7"/>
        <v>(AK) - VALDEZ-CORDOVA</v>
      </c>
      <c r="AS27" s="75">
        <v>625500</v>
      </c>
      <c r="AU27" s="35" t="s">
        <v>295</v>
      </c>
      <c r="AV27" s="36" t="s">
        <v>427</v>
      </c>
      <c r="AW27" s="74" t="str">
        <f t="shared" si="13"/>
        <v>(AK) - VALDEZ-CORDOVA</v>
      </c>
      <c r="AX27" s="76">
        <v>625500</v>
      </c>
      <c r="AZ27" s="37" t="s">
        <v>295</v>
      </c>
      <c r="BA27" s="38" t="s">
        <v>427</v>
      </c>
      <c r="BB27" s="74" t="str">
        <f t="shared" si="14"/>
        <v>(AK) - VALDEZ-CORDOVA</v>
      </c>
      <c r="BC27" s="76">
        <v>625500</v>
      </c>
      <c r="BE27" s="39" t="s">
        <v>295</v>
      </c>
      <c r="BF27" s="40" t="s">
        <v>423</v>
      </c>
      <c r="BG27" s="41" t="str">
        <f t="shared" si="8"/>
        <v>(AK) - SOUTHEAST FAIRB</v>
      </c>
      <c r="BH27" s="77">
        <v>636150</v>
      </c>
      <c r="BK27" s="37" t="s">
        <v>295</v>
      </c>
      <c r="BL27" s="38" t="s">
        <v>423</v>
      </c>
      <c r="BM27" s="43" t="str">
        <f t="shared" si="15"/>
        <v>(AK) - SOUTHEAST FAIRB</v>
      </c>
      <c r="BN27" s="76">
        <v>679650</v>
      </c>
      <c r="BQ27" s="38" t="s">
        <v>423</v>
      </c>
      <c r="BR27" s="37" t="s">
        <v>295</v>
      </c>
      <c r="BS27" s="78" t="str">
        <f t="shared" si="9"/>
        <v>(AK) - SOUTHEAST FAIRB</v>
      </c>
      <c r="BT27" s="79">
        <v>726525</v>
      </c>
      <c r="BW27" s="38" t="s">
        <v>428</v>
      </c>
      <c r="BX27" s="37" t="s">
        <v>295</v>
      </c>
      <c r="BY27" s="78" t="str">
        <f t="shared" si="10"/>
        <v>(AK) - SOUTHEAST FAIRBANKS CENSUS AREA</v>
      </c>
      <c r="BZ27" s="80">
        <v>765600</v>
      </c>
      <c r="CC27" s="43" t="s">
        <v>304</v>
      </c>
      <c r="CD27" s="43" t="s">
        <v>428</v>
      </c>
      <c r="CE27" s="37" t="s">
        <v>295</v>
      </c>
      <c r="CF27" s="81" t="str">
        <f t="shared" si="16"/>
        <v>(AK) - SOUTHEAST FAIRBANKS CENSUS AREA</v>
      </c>
      <c r="CG27" s="59">
        <v>822375</v>
      </c>
      <c r="CH27" s="59"/>
      <c r="CI27" s="263" t="s">
        <v>428</v>
      </c>
      <c r="CJ27" s="264" t="s">
        <v>295</v>
      </c>
      <c r="CK27" s="265">
        <v>970800</v>
      </c>
      <c r="CM27" s="43" t="str">
        <f t="shared" si="1"/>
        <v>(AK) - SOUTHEAST FAIRBANKS CENSUS AREA</v>
      </c>
      <c r="CN27" s="269">
        <f t="shared" si="0"/>
        <v>970800</v>
      </c>
      <c r="CO27" s="269"/>
      <c r="CQ27" s="266" t="s">
        <v>424</v>
      </c>
      <c r="CR27" s="267" t="s">
        <v>295</v>
      </c>
      <c r="CS27" s="268">
        <v>1089300</v>
      </c>
      <c r="CV27" s="43" t="str">
        <f t="shared" si="11"/>
        <v>(AK) - SITKA CITY AND BOROUGH</v>
      </c>
      <c r="CW27" s="70">
        <f t="shared" si="12"/>
        <v>1089300</v>
      </c>
    </row>
    <row r="28" spans="6:101" ht="15.75" thickBot="1" x14ac:dyDescent="0.3">
      <c r="F28" s="43" t="s">
        <v>429</v>
      </c>
      <c r="G28" s="58">
        <v>625500</v>
      </c>
      <c r="H28" s="58"/>
      <c r="I28" s="43" t="s">
        <v>298</v>
      </c>
      <c r="J28" s="68" t="s">
        <v>430</v>
      </c>
      <c r="K28" s="68" t="str">
        <f t="shared" si="2"/>
        <v xml:space="preserve">(AK ) - WADE HAMPTON </v>
      </c>
      <c r="L28" s="69">
        <v>625500</v>
      </c>
      <c r="M28" s="68" t="s">
        <v>300</v>
      </c>
      <c r="N28" s="58"/>
      <c r="R28" s="43" t="s">
        <v>295</v>
      </c>
      <c r="S28" s="43" t="s">
        <v>430</v>
      </c>
      <c r="T28" s="68" t="str">
        <f t="shared" si="3"/>
        <v xml:space="preserve">(AK) - WADE HAMPTON </v>
      </c>
      <c r="U28" s="70">
        <v>625500</v>
      </c>
      <c r="Y28" s="43" t="s">
        <v>295</v>
      </c>
      <c r="Z28" s="43" t="s">
        <v>430</v>
      </c>
      <c r="AA28" s="68" t="str">
        <f t="shared" si="4"/>
        <v xml:space="preserve">(AK) - WADE HAMPTON </v>
      </c>
      <c r="AB28" s="59">
        <v>625500</v>
      </c>
      <c r="AF28" s="68" t="s">
        <v>295</v>
      </c>
      <c r="AG28" s="68" t="s">
        <v>430</v>
      </c>
      <c r="AH28" s="68" t="str">
        <f t="shared" si="5"/>
        <v xml:space="preserve">(AK) - WADE HAMPTON </v>
      </c>
      <c r="AI28" s="71">
        <v>625500</v>
      </c>
      <c r="AK28" s="72" t="s">
        <v>295</v>
      </c>
      <c r="AL28" s="73" t="s">
        <v>431</v>
      </c>
      <c r="AM28" s="74" t="str">
        <f t="shared" si="6"/>
        <v>(AK) - WADE HAMPTON CE</v>
      </c>
      <c r="AN28" s="75">
        <v>625500</v>
      </c>
      <c r="AP28" s="72" t="s">
        <v>295</v>
      </c>
      <c r="AQ28" s="73" t="s">
        <v>431</v>
      </c>
      <c r="AR28" s="74" t="str">
        <f t="shared" si="7"/>
        <v>(AK) - WADE HAMPTON CE</v>
      </c>
      <c r="AS28" s="75">
        <v>625500</v>
      </c>
      <c r="AU28" s="35" t="s">
        <v>295</v>
      </c>
      <c r="AV28" s="36" t="s">
        <v>432</v>
      </c>
      <c r="AW28" s="74" t="str">
        <f t="shared" si="13"/>
        <v>(AK) - WADE HAMPTON</v>
      </c>
      <c r="AX28" s="76">
        <v>625500</v>
      </c>
      <c r="AZ28" s="37" t="s">
        <v>295</v>
      </c>
      <c r="BA28" s="38" t="s">
        <v>432</v>
      </c>
      <c r="BB28" s="74" t="str">
        <f t="shared" si="14"/>
        <v>(AK) - WADE HAMPTON</v>
      </c>
      <c r="BC28" s="76">
        <v>625500</v>
      </c>
      <c r="BE28" s="39" t="s">
        <v>295</v>
      </c>
      <c r="BF28" s="40" t="s">
        <v>427</v>
      </c>
      <c r="BG28" s="41" t="str">
        <f t="shared" si="8"/>
        <v>(AK) - VALDEZ-CORDOVA</v>
      </c>
      <c r="BH28" s="77">
        <v>636150</v>
      </c>
      <c r="BK28" s="37" t="s">
        <v>295</v>
      </c>
      <c r="BL28" s="38" t="s">
        <v>427</v>
      </c>
      <c r="BM28" s="43" t="str">
        <f t="shared" si="15"/>
        <v>(AK) - VALDEZ-CORDOVA</v>
      </c>
      <c r="BN28" s="76">
        <v>679650</v>
      </c>
      <c r="BQ28" s="38" t="s">
        <v>427</v>
      </c>
      <c r="BR28" s="37" t="s">
        <v>295</v>
      </c>
      <c r="BS28" s="78" t="str">
        <f t="shared" si="9"/>
        <v>(AK) - VALDEZ-CORDOVA</v>
      </c>
      <c r="BT28" s="79">
        <v>726525</v>
      </c>
      <c r="BW28" s="38" t="s">
        <v>433</v>
      </c>
      <c r="BX28" s="37" t="s">
        <v>295</v>
      </c>
      <c r="BY28" s="78" t="str">
        <f t="shared" si="10"/>
        <v>(AK) - VALDEZ-CORDOVA CENSUS AREA</v>
      </c>
      <c r="BZ28" s="80">
        <v>765600</v>
      </c>
      <c r="CC28" s="43" t="s">
        <v>304</v>
      </c>
      <c r="CD28" s="43" t="s">
        <v>433</v>
      </c>
      <c r="CE28" s="37" t="s">
        <v>295</v>
      </c>
      <c r="CF28" s="81" t="str">
        <f t="shared" si="16"/>
        <v>(AK) - VALDEZ-CORDOVA CENSUS AREA</v>
      </c>
      <c r="CG28" s="59">
        <v>822375</v>
      </c>
      <c r="CH28" s="59"/>
      <c r="CI28" s="266" t="s">
        <v>433</v>
      </c>
      <c r="CJ28" s="267" t="s">
        <v>295</v>
      </c>
      <c r="CK28" s="268">
        <v>970800</v>
      </c>
      <c r="CM28" s="43" t="str">
        <f t="shared" si="1"/>
        <v>(AK) - VALDEZ-CORDOVA CENSUS AREA</v>
      </c>
      <c r="CN28" s="269">
        <f t="shared" si="0"/>
        <v>970800</v>
      </c>
      <c r="CO28" s="269"/>
      <c r="CQ28" s="263" t="s">
        <v>428</v>
      </c>
      <c r="CR28" s="264" t="s">
        <v>295</v>
      </c>
      <c r="CS28" s="265">
        <v>1089300</v>
      </c>
      <c r="CV28" s="43" t="str">
        <f t="shared" si="11"/>
        <v>(AK) - SKAGWAY MUNICIPALITY</v>
      </c>
      <c r="CW28" s="70">
        <f t="shared" si="12"/>
        <v>1089300</v>
      </c>
    </row>
    <row r="29" spans="6:101" ht="15.75" thickBot="1" x14ac:dyDescent="0.3">
      <c r="F29" s="43" t="s">
        <v>434</v>
      </c>
      <c r="G29" s="58">
        <v>625500</v>
      </c>
      <c r="H29" s="58"/>
      <c r="I29" s="43" t="s">
        <v>298</v>
      </c>
      <c r="J29" s="68" t="s">
        <v>435</v>
      </c>
      <c r="K29" s="68" t="str">
        <f t="shared" si="2"/>
        <v xml:space="preserve">(AK ) - WRANGELL CITY/BOROUGH </v>
      </c>
      <c r="L29" s="69">
        <v>625500</v>
      </c>
      <c r="M29" s="68" t="s">
        <v>300</v>
      </c>
      <c r="N29" s="58"/>
      <c r="R29" s="43" t="s">
        <v>295</v>
      </c>
      <c r="S29" s="43" t="s">
        <v>435</v>
      </c>
      <c r="T29" s="68" t="str">
        <f t="shared" si="3"/>
        <v xml:space="preserve">(AK) - WRANGELL CITY/BOROUGH </v>
      </c>
      <c r="U29" s="70">
        <v>625500</v>
      </c>
      <c r="Y29" s="43" t="s">
        <v>295</v>
      </c>
      <c r="Z29" s="43" t="s">
        <v>436</v>
      </c>
      <c r="AA29" s="68" t="str">
        <f t="shared" si="4"/>
        <v xml:space="preserve">(AK) - WRANGELL CITY A </v>
      </c>
      <c r="AB29" s="59">
        <v>625500</v>
      </c>
      <c r="AF29" s="68" t="s">
        <v>295</v>
      </c>
      <c r="AG29" s="68" t="s">
        <v>436</v>
      </c>
      <c r="AH29" s="68" t="str">
        <f t="shared" si="5"/>
        <v xml:space="preserve">(AK) - WRANGELL CITY A </v>
      </c>
      <c r="AI29" s="71">
        <v>625500</v>
      </c>
      <c r="AK29" s="72" t="s">
        <v>295</v>
      </c>
      <c r="AL29" s="73" t="s">
        <v>437</v>
      </c>
      <c r="AM29" s="74" t="str">
        <f t="shared" si="6"/>
        <v>(AK) - WRANGELL CITY A</v>
      </c>
      <c r="AN29" s="75">
        <v>625500</v>
      </c>
      <c r="AP29" s="72" t="s">
        <v>295</v>
      </c>
      <c r="AQ29" s="73" t="s">
        <v>437</v>
      </c>
      <c r="AR29" s="74" t="str">
        <f t="shared" si="7"/>
        <v>(AK) - WRANGELL CITY A</v>
      </c>
      <c r="AS29" s="75">
        <v>625500</v>
      </c>
      <c r="AU29" s="35" t="s">
        <v>295</v>
      </c>
      <c r="AV29" s="36" t="s">
        <v>437</v>
      </c>
      <c r="AW29" s="74" t="str">
        <f t="shared" si="13"/>
        <v>(AK) - WRANGELL CITY A</v>
      </c>
      <c r="AX29" s="76">
        <v>625500</v>
      </c>
      <c r="AZ29" s="37" t="s">
        <v>295</v>
      </c>
      <c r="BA29" s="38" t="s">
        <v>437</v>
      </c>
      <c r="BB29" s="74" t="str">
        <f t="shared" si="14"/>
        <v>(AK) - WRANGELL CITY A</v>
      </c>
      <c r="BC29" s="76">
        <v>625500</v>
      </c>
      <c r="BE29" s="39" t="s">
        <v>295</v>
      </c>
      <c r="BF29" s="40" t="s">
        <v>437</v>
      </c>
      <c r="BG29" s="41" t="str">
        <f t="shared" si="8"/>
        <v>(AK) - WRANGELL CITY A</v>
      </c>
      <c r="BH29" s="77">
        <v>636150</v>
      </c>
      <c r="BK29" s="37" t="s">
        <v>295</v>
      </c>
      <c r="BL29" s="38" t="s">
        <v>437</v>
      </c>
      <c r="BM29" s="43" t="str">
        <f t="shared" si="15"/>
        <v>(AK) - WRANGELL CITY A</v>
      </c>
      <c r="BN29" s="76">
        <v>679650</v>
      </c>
      <c r="BQ29" s="38" t="s">
        <v>437</v>
      </c>
      <c r="BR29" s="37" t="s">
        <v>295</v>
      </c>
      <c r="BS29" s="78" t="str">
        <f t="shared" si="9"/>
        <v>(AK) - WRANGELL CITY A</v>
      </c>
      <c r="BT29" s="79">
        <v>726525</v>
      </c>
      <c r="BW29" s="38" t="s">
        <v>438</v>
      </c>
      <c r="BX29" s="37" t="s">
        <v>295</v>
      </c>
      <c r="BY29" s="78" t="str">
        <f t="shared" si="10"/>
        <v>(AK) - WRANGELL CITY AND BOROUGH</v>
      </c>
      <c r="BZ29" s="80">
        <v>765600</v>
      </c>
      <c r="CC29" s="43" t="s">
        <v>304</v>
      </c>
      <c r="CD29" s="43" t="s">
        <v>438</v>
      </c>
      <c r="CE29" s="37" t="s">
        <v>295</v>
      </c>
      <c r="CF29" s="81" t="str">
        <f t="shared" si="16"/>
        <v>(AK) - WRANGELL CITY AND BOROUGH</v>
      </c>
      <c r="CG29" s="59">
        <v>822375</v>
      </c>
      <c r="CH29" s="59"/>
      <c r="CI29" s="263" t="s">
        <v>438</v>
      </c>
      <c r="CJ29" s="264" t="s">
        <v>295</v>
      </c>
      <c r="CK29" s="265">
        <v>970800</v>
      </c>
      <c r="CM29" s="43" t="str">
        <f t="shared" si="1"/>
        <v>(AK) - WRANGELL CITY AND BOROUGH</v>
      </c>
      <c r="CN29" s="269">
        <f t="shared" si="0"/>
        <v>970800</v>
      </c>
      <c r="CO29" s="269"/>
      <c r="CQ29" s="266" t="s">
        <v>438</v>
      </c>
      <c r="CR29" s="267" t="s">
        <v>295</v>
      </c>
      <c r="CS29" s="268">
        <v>1089300</v>
      </c>
      <c r="CV29" s="43" t="str">
        <f t="shared" si="11"/>
        <v>(AK) - SOUTHEAST FAIRBANKS CENSUS AREA</v>
      </c>
      <c r="CW29" s="70">
        <f t="shared" si="12"/>
        <v>1089300</v>
      </c>
    </row>
    <row r="30" spans="6:101" ht="15.75" thickBot="1" x14ac:dyDescent="0.3">
      <c r="F30" s="43" t="s">
        <v>439</v>
      </c>
      <c r="G30" s="58">
        <v>962500</v>
      </c>
      <c r="H30" s="58"/>
      <c r="I30" s="43" t="s">
        <v>298</v>
      </c>
      <c r="J30" s="68" t="s">
        <v>440</v>
      </c>
      <c r="K30" s="68" t="str">
        <f t="shared" si="2"/>
        <v xml:space="preserve">(AK ) - YAKUTAT CITY </v>
      </c>
      <c r="L30" s="69">
        <v>625500</v>
      </c>
      <c r="M30" s="68" t="s">
        <v>300</v>
      </c>
      <c r="N30" s="58"/>
      <c r="R30" s="43" t="s">
        <v>295</v>
      </c>
      <c r="S30" s="43" t="s">
        <v>440</v>
      </c>
      <c r="T30" s="68" t="str">
        <f t="shared" si="3"/>
        <v xml:space="preserve">(AK) - YAKUTAT CITY </v>
      </c>
      <c r="U30" s="70">
        <v>625500</v>
      </c>
      <c r="Y30" s="43" t="s">
        <v>295</v>
      </c>
      <c r="Z30" s="43" t="s">
        <v>440</v>
      </c>
      <c r="AA30" s="68" t="str">
        <f t="shared" si="4"/>
        <v xml:space="preserve">(AK) - YAKUTAT CITY </v>
      </c>
      <c r="AB30" s="59">
        <v>625500</v>
      </c>
      <c r="AF30" s="68" t="s">
        <v>295</v>
      </c>
      <c r="AG30" s="68" t="s">
        <v>440</v>
      </c>
      <c r="AH30" s="68" t="str">
        <f t="shared" si="5"/>
        <v xml:space="preserve">(AK) - YAKUTAT CITY </v>
      </c>
      <c r="AI30" s="71">
        <v>625500</v>
      </c>
      <c r="AK30" s="72" t="s">
        <v>295</v>
      </c>
      <c r="AL30" s="73" t="s">
        <v>441</v>
      </c>
      <c r="AM30" s="74" t="str">
        <f t="shared" si="6"/>
        <v>(AK) - YAKUTAT CITY AN</v>
      </c>
      <c r="AN30" s="75">
        <v>625500</v>
      </c>
      <c r="AP30" s="72" t="s">
        <v>295</v>
      </c>
      <c r="AQ30" s="73" t="s">
        <v>441</v>
      </c>
      <c r="AR30" s="74" t="str">
        <f t="shared" si="7"/>
        <v>(AK) - YAKUTAT CITY AN</v>
      </c>
      <c r="AS30" s="75">
        <v>625500</v>
      </c>
      <c r="AU30" s="35" t="s">
        <v>295</v>
      </c>
      <c r="AV30" s="36" t="s">
        <v>442</v>
      </c>
      <c r="AW30" s="74" t="str">
        <f t="shared" si="13"/>
        <v>(AK) - YAKUTAT CITY</v>
      </c>
      <c r="AX30" s="76">
        <v>625500</v>
      </c>
      <c r="AZ30" s="37" t="s">
        <v>295</v>
      </c>
      <c r="BA30" s="38" t="s">
        <v>442</v>
      </c>
      <c r="BB30" s="74" t="str">
        <f t="shared" si="14"/>
        <v>(AK) - YAKUTAT CITY</v>
      </c>
      <c r="BC30" s="76">
        <v>625500</v>
      </c>
      <c r="BE30" s="39" t="s">
        <v>295</v>
      </c>
      <c r="BF30" s="40" t="s">
        <v>442</v>
      </c>
      <c r="BG30" s="41" t="str">
        <f t="shared" si="8"/>
        <v>(AK) - YAKUTAT CITY</v>
      </c>
      <c r="BH30" s="77">
        <v>636150</v>
      </c>
      <c r="BK30" s="37" t="s">
        <v>295</v>
      </c>
      <c r="BL30" s="38" t="s">
        <v>442</v>
      </c>
      <c r="BM30" s="43" t="str">
        <f t="shared" si="15"/>
        <v>(AK) - YAKUTAT CITY</v>
      </c>
      <c r="BN30" s="76">
        <v>679650</v>
      </c>
      <c r="BQ30" s="38" t="s">
        <v>442</v>
      </c>
      <c r="BR30" s="37" t="s">
        <v>295</v>
      </c>
      <c r="BS30" s="78" t="str">
        <f t="shared" si="9"/>
        <v>(AK) - YAKUTAT CITY</v>
      </c>
      <c r="BT30" s="79">
        <v>726525</v>
      </c>
      <c r="BW30" s="38" t="s">
        <v>443</v>
      </c>
      <c r="BX30" s="37" t="s">
        <v>295</v>
      </c>
      <c r="BY30" s="78" t="str">
        <f t="shared" si="10"/>
        <v>(AK) - YAKUTAT CITY AND BOROUGH</v>
      </c>
      <c r="BZ30" s="80">
        <v>765600</v>
      </c>
      <c r="CC30" s="43" t="s">
        <v>304</v>
      </c>
      <c r="CD30" s="43" t="s">
        <v>443</v>
      </c>
      <c r="CE30" s="37" t="s">
        <v>295</v>
      </c>
      <c r="CF30" s="81" t="str">
        <f t="shared" si="16"/>
        <v>(AK) - YAKUTAT CITY AND BOROUGH</v>
      </c>
      <c r="CG30" s="59">
        <v>822375</v>
      </c>
      <c r="CH30" s="59"/>
      <c r="CI30" s="266" t="s">
        <v>443</v>
      </c>
      <c r="CJ30" s="267" t="s">
        <v>295</v>
      </c>
      <c r="CK30" s="268">
        <v>970800</v>
      </c>
      <c r="CM30" s="43" t="str">
        <f t="shared" si="1"/>
        <v>(AK) - YAKUTAT CITY AND BOROUGH</v>
      </c>
      <c r="CN30" s="269">
        <f t="shared" si="0"/>
        <v>970800</v>
      </c>
      <c r="CO30" s="269"/>
      <c r="CQ30" s="263" t="s">
        <v>443</v>
      </c>
      <c r="CR30" s="264" t="s">
        <v>295</v>
      </c>
      <c r="CS30" s="265">
        <v>1089300</v>
      </c>
      <c r="CV30" s="43" t="str">
        <f t="shared" si="11"/>
        <v>(AK) - WRANGELL CITY AND BOROUGH</v>
      </c>
      <c r="CW30" s="70">
        <f t="shared" si="12"/>
        <v>1089300</v>
      </c>
    </row>
    <row r="31" spans="6:101" ht="15.75" thickBot="1" x14ac:dyDescent="0.3">
      <c r="F31" s="43" t="s">
        <v>444</v>
      </c>
      <c r="G31" s="58">
        <v>962500</v>
      </c>
      <c r="H31" s="58"/>
      <c r="I31" s="43" t="s">
        <v>298</v>
      </c>
      <c r="J31" s="68" t="s">
        <v>445</v>
      </c>
      <c r="K31" s="68" t="str">
        <f t="shared" si="2"/>
        <v xml:space="preserve">(AK ) - YUKON-KOYUKUK </v>
      </c>
      <c r="L31" s="69">
        <v>625500</v>
      </c>
      <c r="M31" s="68" t="s">
        <v>300</v>
      </c>
      <c r="N31" s="58"/>
      <c r="R31" s="43" t="s">
        <v>295</v>
      </c>
      <c r="S31" s="43" t="s">
        <v>445</v>
      </c>
      <c r="T31" s="68" t="str">
        <f t="shared" si="3"/>
        <v xml:space="preserve">(AK) - YUKON-KOYUKUK </v>
      </c>
      <c r="U31" s="70">
        <v>625500</v>
      </c>
      <c r="Y31" s="43" t="s">
        <v>295</v>
      </c>
      <c r="Z31" s="43" t="s">
        <v>445</v>
      </c>
      <c r="AA31" s="68" t="str">
        <f t="shared" si="4"/>
        <v xml:space="preserve">(AK) - YUKON-KOYUKUK </v>
      </c>
      <c r="AB31" s="59">
        <v>625500</v>
      </c>
      <c r="AF31" s="68" t="s">
        <v>295</v>
      </c>
      <c r="AG31" s="68" t="s">
        <v>445</v>
      </c>
      <c r="AH31" s="68" t="str">
        <f t="shared" si="5"/>
        <v xml:space="preserve">(AK) - YUKON-KOYUKUK </v>
      </c>
      <c r="AI31" s="71">
        <v>625500</v>
      </c>
      <c r="AK31" s="72" t="s">
        <v>295</v>
      </c>
      <c r="AL31" s="73" t="s">
        <v>446</v>
      </c>
      <c r="AM31" s="74" t="str">
        <f t="shared" si="6"/>
        <v>(AK) - YUKON-KOYUKUK C</v>
      </c>
      <c r="AN31" s="75">
        <v>625500</v>
      </c>
      <c r="AP31" s="72" t="s">
        <v>295</v>
      </c>
      <c r="AQ31" s="73" t="s">
        <v>446</v>
      </c>
      <c r="AR31" s="74" t="str">
        <f t="shared" si="7"/>
        <v>(AK) - YUKON-KOYUKUK C</v>
      </c>
      <c r="AS31" s="75">
        <v>625500</v>
      </c>
      <c r="AU31" s="35" t="s">
        <v>295</v>
      </c>
      <c r="AV31" s="36" t="s">
        <v>447</v>
      </c>
      <c r="AW31" s="74" t="str">
        <f t="shared" si="13"/>
        <v>(AK) - YUKON-KOYUKUK</v>
      </c>
      <c r="AX31" s="76">
        <v>625500</v>
      </c>
      <c r="AZ31" s="37" t="s">
        <v>295</v>
      </c>
      <c r="BA31" s="38" t="s">
        <v>447</v>
      </c>
      <c r="BB31" s="74" t="str">
        <f t="shared" si="14"/>
        <v>(AK) - YUKON-KOYUKUK</v>
      </c>
      <c r="BC31" s="76">
        <v>625500</v>
      </c>
      <c r="BE31" s="39" t="s">
        <v>295</v>
      </c>
      <c r="BF31" s="40" t="s">
        <v>447</v>
      </c>
      <c r="BG31" s="41" t="str">
        <f t="shared" si="8"/>
        <v>(AK) - YUKON-KOYUKUK</v>
      </c>
      <c r="BH31" s="77">
        <v>636150</v>
      </c>
      <c r="BK31" s="37" t="s">
        <v>295</v>
      </c>
      <c r="BL31" s="38" t="s">
        <v>447</v>
      </c>
      <c r="BM31" s="43" t="str">
        <f t="shared" si="15"/>
        <v>(AK) - YUKON-KOYUKUK</v>
      </c>
      <c r="BN31" s="76">
        <v>679650</v>
      </c>
      <c r="BQ31" s="38" t="s">
        <v>447</v>
      </c>
      <c r="BR31" s="37" t="s">
        <v>295</v>
      </c>
      <c r="BS31" s="78" t="str">
        <f t="shared" si="9"/>
        <v>(AK) - YUKON-KOYUKUK</v>
      </c>
      <c r="BT31" s="79">
        <v>726525</v>
      </c>
      <c r="BW31" s="38" t="s">
        <v>448</v>
      </c>
      <c r="BX31" s="37" t="s">
        <v>295</v>
      </c>
      <c r="BY31" s="78" t="str">
        <f t="shared" si="10"/>
        <v>(AK) - YUKON-KOYUKUK CENSUS AREA</v>
      </c>
      <c r="BZ31" s="80">
        <v>765600</v>
      </c>
      <c r="CC31" s="43" t="s">
        <v>304</v>
      </c>
      <c r="CD31" s="43" t="s">
        <v>448</v>
      </c>
      <c r="CE31" s="37" t="s">
        <v>295</v>
      </c>
      <c r="CF31" s="81" t="str">
        <f t="shared" si="16"/>
        <v>(AK) - YUKON-KOYUKUK CENSUS AREA</v>
      </c>
      <c r="CG31" s="59">
        <v>822375</v>
      </c>
      <c r="CH31" s="59"/>
      <c r="CI31" s="263" t="s">
        <v>448</v>
      </c>
      <c r="CJ31" s="264" t="s">
        <v>295</v>
      </c>
      <c r="CK31" s="265">
        <v>970800</v>
      </c>
      <c r="CM31" s="43" t="str">
        <f t="shared" si="1"/>
        <v>(AK) - YUKON-KOYUKUK CENSUS AREA</v>
      </c>
      <c r="CN31" s="269">
        <f t="shared" si="0"/>
        <v>970800</v>
      </c>
      <c r="CO31" s="269"/>
      <c r="CQ31" s="266" t="s">
        <v>448</v>
      </c>
      <c r="CR31" s="267" t="s">
        <v>295</v>
      </c>
      <c r="CS31" s="268">
        <v>1089300</v>
      </c>
      <c r="CV31" s="43" t="str">
        <f t="shared" si="11"/>
        <v>(AK) - YAKUTAT CITY AND BOROUGH</v>
      </c>
      <c r="CW31" s="70">
        <f t="shared" si="12"/>
        <v>1089300</v>
      </c>
    </row>
    <row r="32" spans="6:101" ht="15.75" thickBot="1" x14ac:dyDescent="0.3">
      <c r="F32" s="43" t="s">
        <v>449</v>
      </c>
      <c r="G32" s="58">
        <v>418750</v>
      </c>
      <c r="H32" s="58"/>
      <c r="I32" s="43" t="s">
        <v>450</v>
      </c>
      <c r="J32" s="68" t="s">
        <v>451</v>
      </c>
      <c r="K32" s="68" t="str">
        <f t="shared" si="2"/>
        <v xml:space="preserve">(CA ) - ALAMEDA </v>
      </c>
      <c r="L32" s="69">
        <v>1000000</v>
      </c>
      <c r="M32" s="68" t="s">
        <v>452</v>
      </c>
      <c r="N32" s="58"/>
      <c r="R32" s="43" t="s">
        <v>453</v>
      </c>
      <c r="S32" s="43" t="s">
        <v>451</v>
      </c>
      <c r="T32" s="68" t="str">
        <f t="shared" si="3"/>
        <v xml:space="preserve">(CA) - ALAMEDA </v>
      </c>
      <c r="U32" s="70">
        <v>625500</v>
      </c>
      <c r="Y32" s="43" t="s">
        <v>453</v>
      </c>
      <c r="Z32" s="43" t="s">
        <v>451</v>
      </c>
      <c r="AA32" s="68" t="str">
        <f t="shared" si="4"/>
        <v xml:space="preserve">(CA) - ALAMEDA </v>
      </c>
      <c r="AB32" s="59">
        <v>1000000</v>
      </c>
      <c r="AF32" s="68" t="s">
        <v>453</v>
      </c>
      <c r="AG32" s="68" t="s">
        <v>451</v>
      </c>
      <c r="AH32" s="68" t="str">
        <f t="shared" si="5"/>
        <v xml:space="preserve">(CA) - ALAMEDA </v>
      </c>
      <c r="AI32" s="71">
        <v>987500</v>
      </c>
      <c r="AK32" s="72" t="s">
        <v>453</v>
      </c>
      <c r="AL32" s="73" t="s">
        <v>454</v>
      </c>
      <c r="AM32" s="74" t="str">
        <f t="shared" si="6"/>
        <v>(CA) - ALAMEDA COUNTY</v>
      </c>
      <c r="AN32" s="75">
        <v>1050000</v>
      </c>
      <c r="AP32" s="72" t="s">
        <v>453</v>
      </c>
      <c r="AQ32" s="73" t="s">
        <v>454</v>
      </c>
      <c r="AR32" s="74" t="str">
        <f t="shared" si="7"/>
        <v>(CA) - ALAMEDA COUNTY</v>
      </c>
      <c r="AS32" s="75">
        <v>1050000</v>
      </c>
      <c r="AU32" s="35" t="s">
        <v>453</v>
      </c>
      <c r="AV32" s="36" t="s">
        <v>455</v>
      </c>
      <c r="AW32" s="74" t="str">
        <f t="shared" si="13"/>
        <v>(CA) - ALAMEDA</v>
      </c>
      <c r="AX32" s="76">
        <v>625500</v>
      </c>
      <c r="AZ32" s="37" t="s">
        <v>453</v>
      </c>
      <c r="BA32" s="38" t="s">
        <v>455</v>
      </c>
      <c r="BB32" s="74" t="str">
        <f t="shared" si="14"/>
        <v>(CA) - ALAMEDA</v>
      </c>
      <c r="BC32" s="76">
        <v>625500</v>
      </c>
      <c r="BE32" s="39" t="s">
        <v>453</v>
      </c>
      <c r="BF32" s="40" t="s">
        <v>455</v>
      </c>
      <c r="BG32" s="41" t="str">
        <f t="shared" si="8"/>
        <v>(CA) - ALAMEDA</v>
      </c>
      <c r="BH32" s="77">
        <v>636150</v>
      </c>
      <c r="BK32" s="37" t="s">
        <v>453</v>
      </c>
      <c r="BL32" s="38" t="s">
        <v>455</v>
      </c>
      <c r="BM32" s="43" t="str">
        <f t="shared" si="15"/>
        <v>(CA) - ALAMEDA</v>
      </c>
      <c r="BN32" s="76">
        <v>679650</v>
      </c>
      <c r="BQ32" s="38" t="s">
        <v>455</v>
      </c>
      <c r="BR32" s="37" t="s">
        <v>453</v>
      </c>
      <c r="BS32" s="78" t="str">
        <f t="shared" si="9"/>
        <v>(CA) - ALAMEDA</v>
      </c>
      <c r="BT32" s="79">
        <v>726525</v>
      </c>
      <c r="BW32" s="38" t="s">
        <v>451</v>
      </c>
      <c r="BX32" s="37" t="s">
        <v>453</v>
      </c>
      <c r="BY32" s="78" t="str">
        <f t="shared" si="10"/>
        <v xml:space="preserve">(CA) - ALAMEDA </v>
      </c>
      <c r="BZ32" s="80">
        <v>765600</v>
      </c>
      <c r="CC32" s="43" t="s">
        <v>456</v>
      </c>
      <c r="CD32" s="43" t="s">
        <v>454</v>
      </c>
      <c r="CE32" s="37" t="s">
        <v>453</v>
      </c>
      <c r="CF32" s="81" t="str">
        <f t="shared" si="16"/>
        <v>(CA) - ALAMEDA COUNTY</v>
      </c>
      <c r="CG32" s="59">
        <v>822375</v>
      </c>
      <c r="CH32" s="59"/>
      <c r="CI32" s="266" t="s">
        <v>454</v>
      </c>
      <c r="CJ32" s="267" t="s">
        <v>453</v>
      </c>
      <c r="CK32" s="268">
        <v>970800</v>
      </c>
      <c r="CM32" s="43" t="str">
        <f t="shared" si="1"/>
        <v>(CA) - ALAMEDA COUNTY</v>
      </c>
      <c r="CN32" s="269">
        <f t="shared" si="0"/>
        <v>970800</v>
      </c>
      <c r="CO32" s="269"/>
      <c r="CQ32" s="263" t="s">
        <v>454</v>
      </c>
      <c r="CR32" s="264" t="s">
        <v>453</v>
      </c>
      <c r="CS32" s="265">
        <v>1089300</v>
      </c>
      <c r="CV32" s="43" t="str">
        <f t="shared" si="11"/>
        <v>(AK) - YUKON-KOYUKUK CENSUS AREA</v>
      </c>
      <c r="CW32" s="70">
        <f t="shared" si="12"/>
        <v>1089300</v>
      </c>
    </row>
    <row r="33" spans="6:101" ht="15.75" thickBot="1" x14ac:dyDescent="0.3">
      <c r="F33" s="43" t="s">
        <v>457</v>
      </c>
      <c r="G33" s="58">
        <v>593750</v>
      </c>
      <c r="H33" s="58"/>
      <c r="I33" s="43" t="s">
        <v>450</v>
      </c>
      <c r="J33" s="68" t="s">
        <v>458</v>
      </c>
      <c r="K33" s="68" t="str">
        <f t="shared" si="2"/>
        <v xml:space="preserve">(CA ) - ALPINE </v>
      </c>
      <c r="L33" s="69">
        <v>480000</v>
      </c>
      <c r="M33" s="68" t="s">
        <v>452</v>
      </c>
      <c r="N33" s="58"/>
      <c r="R33" s="43" t="s">
        <v>453</v>
      </c>
      <c r="S33" s="43" t="s">
        <v>459</v>
      </c>
      <c r="T33" s="68" t="str">
        <f t="shared" si="3"/>
        <v xml:space="preserve">(CA) - CONTRA COSTA </v>
      </c>
      <c r="U33" s="70">
        <v>625500</v>
      </c>
      <c r="Y33" s="43" t="s">
        <v>453</v>
      </c>
      <c r="Z33" s="43" t="s">
        <v>459</v>
      </c>
      <c r="AA33" s="68" t="str">
        <f t="shared" si="4"/>
        <v xml:space="preserve">(CA) - CONTRA COSTA </v>
      </c>
      <c r="AB33" s="59">
        <v>1000000</v>
      </c>
      <c r="AF33" s="68" t="s">
        <v>453</v>
      </c>
      <c r="AG33" s="68" t="s">
        <v>459</v>
      </c>
      <c r="AH33" s="68" t="str">
        <f t="shared" si="5"/>
        <v xml:space="preserve">(CA) - CONTRA COSTA </v>
      </c>
      <c r="AI33" s="71">
        <v>987500</v>
      </c>
      <c r="AK33" s="72" t="s">
        <v>453</v>
      </c>
      <c r="AL33" s="73" t="s">
        <v>460</v>
      </c>
      <c r="AM33" s="74" t="str">
        <f t="shared" si="6"/>
        <v>(CA) - CONTRA COSTA CO</v>
      </c>
      <c r="AN33" s="75">
        <v>1050000</v>
      </c>
      <c r="AP33" s="72" t="s">
        <v>453</v>
      </c>
      <c r="AQ33" s="73" t="s">
        <v>461</v>
      </c>
      <c r="AR33" s="74" t="str">
        <f t="shared" si="7"/>
        <v>(CA) - ALPINE</v>
      </c>
      <c r="AS33" s="75">
        <v>463450</v>
      </c>
      <c r="AU33" s="35" t="s">
        <v>453</v>
      </c>
      <c r="AV33" s="36" t="s">
        <v>461</v>
      </c>
      <c r="AW33" s="74" t="str">
        <f t="shared" si="13"/>
        <v>(CA) - ALPINE</v>
      </c>
      <c r="AX33" s="76">
        <v>463450</v>
      </c>
      <c r="AZ33" s="37" t="s">
        <v>453</v>
      </c>
      <c r="BA33" s="38" t="s">
        <v>461</v>
      </c>
      <c r="BB33" s="74" t="str">
        <f t="shared" si="14"/>
        <v>(CA) - ALPINE</v>
      </c>
      <c r="BC33" s="76">
        <v>463450</v>
      </c>
      <c r="BE33" s="39" t="s">
        <v>453</v>
      </c>
      <c r="BF33" s="40" t="s">
        <v>461</v>
      </c>
      <c r="BG33" s="41" t="str">
        <f t="shared" si="8"/>
        <v>(CA) - ALPINE</v>
      </c>
      <c r="BH33" s="77">
        <v>463450</v>
      </c>
      <c r="BK33" s="37" t="s">
        <v>453</v>
      </c>
      <c r="BL33" s="38" t="s">
        <v>461</v>
      </c>
      <c r="BM33" s="43" t="str">
        <f t="shared" si="15"/>
        <v>(CA) - ALPINE</v>
      </c>
      <c r="BN33" s="76">
        <v>463450</v>
      </c>
      <c r="BQ33" s="38" t="s">
        <v>462</v>
      </c>
      <c r="BR33" s="37" t="s">
        <v>453</v>
      </c>
      <c r="BS33" s="78" t="str">
        <f t="shared" si="9"/>
        <v>(CA) - CONTRA COSTA</v>
      </c>
      <c r="BT33" s="79">
        <v>726525</v>
      </c>
      <c r="BW33" s="38" t="s">
        <v>459</v>
      </c>
      <c r="BX33" s="37" t="s">
        <v>453</v>
      </c>
      <c r="BY33" s="78" t="str">
        <f t="shared" si="10"/>
        <v xml:space="preserve">(CA) - CONTRA COSTA </v>
      </c>
      <c r="BZ33" s="80">
        <v>765600</v>
      </c>
      <c r="CC33" s="43" t="s">
        <v>456</v>
      </c>
      <c r="CD33" s="43" t="s">
        <v>463</v>
      </c>
      <c r="CE33" s="37" t="s">
        <v>453</v>
      </c>
      <c r="CF33" s="81" t="str">
        <f t="shared" si="16"/>
        <v>(CA) - CONTRA COSTA COUNTY</v>
      </c>
      <c r="CG33" s="59">
        <v>822375</v>
      </c>
      <c r="CH33" s="59"/>
      <c r="CI33" s="263" t="s">
        <v>463</v>
      </c>
      <c r="CJ33" s="264" t="s">
        <v>453</v>
      </c>
      <c r="CK33" s="265">
        <v>970800</v>
      </c>
      <c r="CM33" s="43" t="str">
        <f t="shared" si="1"/>
        <v>(CA) - CONTRA COSTA COUNTY</v>
      </c>
      <c r="CN33" s="269">
        <f t="shared" si="0"/>
        <v>970800</v>
      </c>
      <c r="CO33" s="269"/>
      <c r="CQ33" s="266" t="s">
        <v>463</v>
      </c>
      <c r="CR33" s="267" t="s">
        <v>453</v>
      </c>
      <c r="CS33" s="268">
        <v>1089300</v>
      </c>
      <c r="CV33" s="43" t="str">
        <f t="shared" si="11"/>
        <v>(CA) - ALAMEDA COUNTY</v>
      </c>
      <c r="CW33" s="70">
        <f t="shared" si="12"/>
        <v>1089300</v>
      </c>
    </row>
    <row r="34" spans="6:101" ht="15.75" thickBot="1" x14ac:dyDescent="0.3">
      <c r="F34" s="43" t="s">
        <v>464</v>
      </c>
      <c r="G34" s="58">
        <v>962500</v>
      </c>
      <c r="H34" s="58"/>
      <c r="I34" s="43" t="s">
        <v>450</v>
      </c>
      <c r="J34" s="68" t="s">
        <v>459</v>
      </c>
      <c r="K34" s="68" t="str">
        <f t="shared" si="2"/>
        <v xml:space="preserve">(CA ) - CONTRA COSTA </v>
      </c>
      <c r="L34" s="69">
        <v>1000000</v>
      </c>
      <c r="M34" s="68" t="s">
        <v>452</v>
      </c>
      <c r="N34" s="58"/>
      <c r="R34" s="43" t="s">
        <v>453</v>
      </c>
      <c r="S34" s="43" t="s">
        <v>465</v>
      </c>
      <c r="T34" s="68" t="str">
        <f t="shared" si="3"/>
        <v xml:space="preserve">(CA) - LOS ANGELES </v>
      </c>
      <c r="U34" s="70">
        <v>621000</v>
      </c>
      <c r="Y34" s="43" t="s">
        <v>453</v>
      </c>
      <c r="Z34" s="43" t="s">
        <v>465</v>
      </c>
      <c r="AA34" s="68" t="str">
        <f t="shared" si="4"/>
        <v xml:space="preserve">(CA) - LOS ANGELES </v>
      </c>
      <c r="AB34" s="59">
        <v>675000</v>
      </c>
      <c r="AF34" s="68" t="s">
        <v>453</v>
      </c>
      <c r="AG34" s="68" t="s">
        <v>465</v>
      </c>
      <c r="AH34" s="68" t="str">
        <f t="shared" si="5"/>
        <v xml:space="preserve">(CA) - LOS ANGELES </v>
      </c>
      <c r="AI34" s="71">
        <v>668750</v>
      </c>
      <c r="AK34" s="85" t="s">
        <v>453</v>
      </c>
      <c r="AL34" s="86" t="s">
        <v>466</v>
      </c>
      <c r="AM34" s="74" t="str">
        <f t="shared" si="6"/>
        <v>(CA) - EL DORADO</v>
      </c>
      <c r="AN34" s="87">
        <v>437500</v>
      </c>
      <c r="AP34" s="72" t="s">
        <v>453</v>
      </c>
      <c r="AQ34" s="73" t="s">
        <v>460</v>
      </c>
      <c r="AR34" s="74" t="str">
        <f t="shared" si="7"/>
        <v>(CA) - CONTRA COSTA CO</v>
      </c>
      <c r="AS34" s="75">
        <v>1050000</v>
      </c>
      <c r="AU34" s="35" t="s">
        <v>453</v>
      </c>
      <c r="AV34" s="36" t="s">
        <v>462</v>
      </c>
      <c r="AW34" s="74" t="str">
        <f t="shared" si="13"/>
        <v>(CA) - CONTRA COSTA</v>
      </c>
      <c r="AX34" s="76">
        <v>625500</v>
      </c>
      <c r="AZ34" s="37" t="s">
        <v>453</v>
      </c>
      <c r="BA34" s="38" t="s">
        <v>462</v>
      </c>
      <c r="BB34" s="74" t="str">
        <f t="shared" si="14"/>
        <v>(CA) - CONTRA COSTA</v>
      </c>
      <c r="BC34" s="76">
        <v>625500</v>
      </c>
      <c r="BE34" s="39" t="s">
        <v>453</v>
      </c>
      <c r="BF34" s="40" t="s">
        <v>462</v>
      </c>
      <c r="BG34" s="41" t="str">
        <f t="shared" si="8"/>
        <v>(CA) - CONTRA COSTA</v>
      </c>
      <c r="BH34" s="77">
        <v>636150</v>
      </c>
      <c r="BK34" s="37" t="s">
        <v>453</v>
      </c>
      <c r="BL34" s="38" t="s">
        <v>462</v>
      </c>
      <c r="BM34" s="43" t="str">
        <f t="shared" si="15"/>
        <v>(CA) - CONTRA COSTA</v>
      </c>
      <c r="BN34" s="76">
        <v>679650</v>
      </c>
      <c r="BQ34" s="38" t="s">
        <v>466</v>
      </c>
      <c r="BR34" s="37" t="s">
        <v>453</v>
      </c>
      <c r="BS34" s="78" t="str">
        <f t="shared" si="9"/>
        <v>(CA) - EL DORADO</v>
      </c>
      <c r="BT34" s="79">
        <v>552000</v>
      </c>
      <c r="BW34" s="38" t="s">
        <v>467</v>
      </c>
      <c r="BX34" s="37" t="s">
        <v>453</v>
      </c>
      <c r="BY34" s="78" t="str">
        <f t="shared" si="10"/>
        <v xml:space="preserve">(CA) - EL DORADO </v>
      </c>
      <c r="BZ34" s="80">
        <v>569250</v>
      </c>
      <c r="CC34" s="43" t="s">
        <v>456</v>
      </c>
      <c r="CD34" s="43" t="s">
        <v>468</v>
      </c>
      <c r="CE34" s="37" t="s">
        <v>453</v>
      </c>
      <c r="CF34" s="81" t="str">
        <f t="shared" si="16"/>
        <v>(CA) - EL DORADO COUNTY</v>
      </c>
      <c r="CG34" s="59">
        <v>598000</v>
      </c>
      <c r="CH34" s="59"/>
      <c r="CI34" s="266" t="s">
        <v>468</v>
      </c>
      <c r="CJ34" s="267" t="s">
        <v>453</v>
      </c>
      <c r="CK34" s="268">
        <v>675050</v>
      </c>
      <c r="CM34" s="43" t="str">
        <f t="shared" si="1"/>
        <v>(CA) - EL DORADO COUNTY</v>
      </c>
      <c r="CN34" s="269">
        <f t="shared" ref="CN34:CN65" si="17">CK34</f>
        <v>675050</v>
      </c>
      <c r="CO34" s="269"/>
      <c r="CQ34" s="263" t="s">
        <v>468</v>
      </c>
      <c r="CR34" s="264" t="s">
        <v>453</v>
      </c>
      <c r="CS34" s="265">
        <v>763600</v>
      </c>
      <c r="CV34" s="43" t="str">
        <f t="shared" si="11"/>
        <v>(CA) - CONTRA COSTA COUNTY</v>
      </c>
      <c r="CW34" s="70">
        <f t="shared" si="12"/>
        <v>1089300</v>
      </c>
    </row>
    <row r="35" spans="6:101" ht="15.75" thickBot="1" x14ac:dyDescent="0.3">
      <c r="F35" s="43" t="s">
        <v>469</v>
      </c>
      <c r="G35" s="58">
        <v>512500</v>
      </c>
      <c r="H35" s="58"/>
      <c r="I35" s="43" t="s">
        <v>450</v>
      </c>
      <c r="J35" s="68" t="s">
        <v>465</v>
      </c>
      <c r="K35" s="68" t="str">
        <f t="shared" si="2"/>
        <v xml:space="preserve">(CA ) - LOS ANGELES </v>
      </c>
      <c r="L35" s="69">
        <v>700000</v>
      </c>
      <c r="M35" s="68" t="s">
        <v>452</v>
      </c>
      <c r="N35" s="58"/>
      <c r="R35" s="43" t="s">
        <v>453</v>
      </c>
      <c r="S35" s="43" t="s">
        <v>470</v>
      </c>
      <c r="T35" s="68" t="str">
        <f t="shared" si="3"/>
        <v xml:space="preserve">(CA) - MARIN </v>
      </c>
      <c r="U35" s="70">
        <v>625500</v>
      </c>
      <c r="Y35" s="43" t="s">
        <v>453</v>
      </c>
      <c r="Z35" s="43" t="s">
        <v>470</v>
      </c>
      <c r="AA35" s="68" t="str">
        <f t="shared" si="4"/>
        <v xml:space="preserve">(CA) - MARIN </v>
      </c>
      <c r="AB35" s="59">
        <v>1000000</v>
      </c>
      <c r="AF35" s="68" t="s">
        <v>453</v>
      </c>
      <c r="AG35" s="68" t="s">
        <v>470</v>
      </c>
      <c r="AH35" s="68" t="str">
        <f t="shared" si="5"/>
        <v xml:space="preserve">(CA) - MARIN </v>
      </c>
      <c r="AI35" s="71">
        <v>987500</v>
      </c>
      <c r="AK35" s="72" t="s">
        <v>453</v>
      </c>
      <c r="AL35" s="73" t="s">
        <v>471</v>
      </c>
      <c r="AM35" s="74" t="str">
        <f t="shared" si="6"/>
        <v>(CA) - LOS ANGELES COUNTY</v>
      </c>
      <c r="AN35" s="75">
        <v>687500</v>
      </c>
      <c r="AP35" s="72" t="s">
        <v>453</v>
      </c>
      <c r="AQ35" s="73" t="s">
        <v>466</v>
      </c>
      <c r="AR35" s="74" t="str">
        <f t="shared" si="7"/>
        <v>(CA) - EL DORADO</v>
      </c>
      <c r="AS35" s="75">
        <v>474950</v>
      </c>
      <c r="AU35" s="35" t="s">
        <v>453</v>
      </c>
      <c r="AV35" s="36" t="s">
        <v>466</v>
      </c>
      <c r="AW35" s="74" t="str">
        <f t="shared" si="13"/>
        <v>(CA) - EL DORADO</v>
      </c>
      <c r="AX35" s="76">
        <v>474950</v>
      </c>
      <c r="AZ35" s="37" t="s">
        <v>453</v>
      </c>
      <c r="BA35" s="38" t="s">
        <v>466</v>
      </c>
      <c r="BB35" s="74" t="str">
        <f t="shared" si="14"/>
        <v>(CA) - EL DORADO</v>
      </c>
      <c r="BC35" s="76">
        <v>474950</v>
      </c>
      <c r="BE35" s="39" t="s">
        <v>453</v>
      </c>
      <c r="BF35" s="40" t="s">
        <v>466</v>
      </c>
      <c r="BG35" s="41" t="str">
        <f t="shared" si="8"/>
        <v>(CA) - EL DORADO</v>
      </c>
      <c r="BH35" s="77">
        <v>488750</v>
      </c>
      <c r="BK35" s="37" t="s">
        <v>453</v>
      </c>
      <c r="BL35" s="38" t="s">
        <v>466</v>
      </c>
      <c r="BM35" s="43" t="str">
        <f t="shared" si="15"/>
        <v>(CA) - EL DORADO</v>
      </c>
      <c r="BN35" s="76">
        <v>517500</v>
      </c>
      <c r="BQ35" s="38" t="s">
        <v>472</v>
      </c>
      <c r="BR35" s="37" t="s">
        <v>453</v>
      </c>
      <c r="BS35" s="78" t="str">
        <f t="shared" si="9"/>
        <v>(CA) - LOS ANGELES</v>
      </c>
      <c r="BT35" s="79">
        <v>726525</v>
      </c>
      <c r="BW35" s="38" t="s">
        <v>465</v>
      </c>
      <c r="BX35" s="37" t="s">
        <v>453</v>
      </c>
      <c r="BY35" s="78" t="str">
        <f t="shared" si="10"/>
        <v xml:space="preserve">(CA) - LOS ANGELES </v>
      </c>
      <c r="BZ35" s="80">
        <v>765600</v>
      </c>
      <c r="CC35" s="43" t="s">
        <v>456</v>
      </c>
      <c r="CD35" s="43" t="s">
        <v>471</v>
      </c>
      <c r="CE35" s="37" t="s">
        <v>453</v>
      </c>
      <c r="CF35" s="81" t="str">
        <f t="shared" si="16"/>
        <v>(CA) - LOS ANGELES COUNTY</v>
      </c>
      <c r="CG35" s="59">
        <v>822375</v>
      </c>
      <c r="CH35" s="59"/>
      <c r="CI35" s="263" t="s">
        <v>471</v>
      </c>
      <c r="CJ35" s="264" t="s">
        <v>453</v>
      </c>
      <c r="CK35" s="265">
        <v>970800</v>
      </c>
      <c r="CM35" s="43" t="str">
        <f t="shared" ref="CM35:CM66" si="18">CONCATENATE("(",CJ35,") - ",CI35)</f>
        <v>(CA) - LOS ANGELES COUNTY</v>
      </c>
      <c r="CN35" s="269">
        <f t="shared" si="17"/>
        <v>970800</v>
      </c>
      <c r="CO35" s="269"/>
      <c r="CQ35" s="266" t="s">
        <v>471</v>
      </c>
      <c r="CR35" s="267" t="s">
        <v>453</v>
      </c>
      <c r="CS35" s="268">
        <v>1089300</v>
      </c>
      <c r="CV35" s="43" t="str">
        <f t="shared" si="11"/>
        <v>(CA) - EL DORADO COUNTY</v>
      </c>
      <c r="CW35" s="70">
        <f t="shared" si="12"/>
        <v>763600</v>
      </c>
    </row>
    <row r="36" spans="6:101" ht="15.75" thickBot="1" x14ac:dyDescent="0.3">
      <c r="F36" s="43" t="s">
        <v>473</v>
      </c>
      <c r="G36" s="58">
        <v>443750</v>
      </c>
      <c r="H36" s="58"/>
      <c r="I36" s="43" t="s">
        <v>450</v>
      </c>
      <c r="J36" s="68" t="s">
        <v>470</v>
      </c>
      <c r="K36" s="68" t="str">
        <f t="shared" si="2"/>
        <v xml:space="preserve">(CA ) - MARIN </v>
      </c>
      <c r="L36" s="69">
        <v>1000000</v>
      </c>
      <c r="M36" s="68" t="s">
        <v>452</v>
      </c>
      <c r="N36" s="58"/>
      <c r="R36" s="43" t="s">
        <v>453</v>
      </c>
      <c r="S36" s="43" t="s">
        <v>474</v>
      </c>
      <c r="T36" s="68" t="str">
        <f t="shared" si="3"/>
        <v xml:space="preserve">(CA) - NAPA </v>
      </c>
      <c r="U36" s="70">
        <v>460000</v>
      </c>
      <c r="Y36" s="43" t="s">
        <v>453</v>
      </c>
      <c r="Z36" s="43" t="s">
        <v>475</v>
      </c>
      <c r="AA36" s="68" t="str">
        <f t="shared" si="4"/>
        <v xml:space="preserve">(CA) - MONTEREY </v>
      </c>
      <c r="AB36" s="59">
        <v>436250</v>
      </c>
      <c r="AF36" s="68" t="s">
        <v>453</v>
      </c>
      <c r="AG36" s="68" t="s">
        <v>476</v>
      </c>
      <c r="AH36" s="68" t="str">
        <f t="shared" si="5"/>
        <v xml:space="preserve">(CA) - MONO </v>
      </c>
      <c r="AI36" s="71">
        <v>437500</v>
      </c>
      <c r="AK36" s="72" t="s">
        <v>453</v>
      </c>
      <c r="AL36" s="73" t="s">
        <v>477</v>
      </c>
      <c r="AM36" s="74" t="str">
        <f t="shared" si="6"/>
        <v>(CA) - MARIN</v>
      </c>
      <c r="AN36" s="75">
        <v>1050000</v>
      </c>
      <c r="AP36" s="72" t="s">
        <v>453</v>
      </c>
      <c r="AQ36" s="73" t="s">
        <v>471</v>
      </c>
      <c r="AR36" s="74" t="str">
        <f t="shared" si="7"/>
        <v>(CA) - LOS ANGELES COUNTY</v>
      </c>
      <c r="AS36" s="75">
        <v>687500</v>
      </c>
      <c r="AU36" s="35" t="s">
        <v>453</v>
      </c>
      <c r="AV36" s="36" t="s">
        <v>472</v>
      </c>
      <c r="AW36" s="74" t="str">
        <f t="shared" si="13"/>
        <v>(CA) - LOS ANGELES</v>
      </c>
      <c r="AX36" s="76">
        <v>625500</v>
      </c>
      <c r="AZ36" s="37" t="s">
        <v>453</v>
      </c>
      <c r="BA36" s="38" t="s">
        <v>472</v>
      </c>
      <c r="BB36" s="74" t="str">
        <f t="shared" si="14"/>
        <v>(CA) - LOS ANGELES</v>
      </c>
      <c r="BC36" s="76">
        <v>625500</v>
      </c>
      <c r="BE36" s="39" t="s">
        <v>453</v>
      </c>
      <c r="BF36" s="40" t="s">
        <v>472</v>
      </c>
      <c r="BG36" s="41" t="str">
        <f t="shared" si="8"/>
        <v>(CA) - LOS ANGELES</v>
      </c>
      <c r="BH36" s="77">
        <v>636150</v>
      </c>
      <c r="BK36" s="37" t="s">
        <v>453</v>
      </c>
      <c r="BL36" s="38" t="s">
        <v>472</v>
      </c>
      <c r="BM36" s="43" t="str">
        <f t="shared" si="15"/>
        <v>(CA) - LOS ANGELES</v>
      </c>
      <c r="BN36" s="76">
        <v>679650</v>
      </c>
      <c r="BQ36" s="38" t="s">
        <v>477</v>
      </c>
      <c r="BR36" s="37" t="s">
        <v>453</v>
      </c>
      <c r="BS36" s="78" t="str">
        <f t="shared" si="9"/>
        <v>(CA) - MARIN</v>
      </c>
      <c r="BT36" s="79">
        <v>726525</v>
      </c>
      <c r="BW36" s="38" t="s">
        <v>470</v>
      </c>
      <c r="BX36" s="37" t="s">
        <v>453</v>
      </c>
      <c r="BY36" s="78" t="str">
        <f t="shared" si="10"/>
        <v xml:space="preserve">(CA) - MARIN </v>
      </c>
      <c r="BZ36" s="80">
        <v>765600</v>
      </c>
      <c r="CC36" s="43" t="s">
        <v>456</v>
      </c>
      <c r="CD36" s="43" t="s">
        <v>478</v>
      </c>
      <c r="CE36" s="37" t="s">
        <v>453</v>
      </c>
      <c r="CF36" s="81" t="str">
        <f t="shared" si="16"/>
        <v>(CA) - MARIN COUNTY</v>
      </c>
      <c r="CG36" s="59">
        <v>822375</v>
      </c>
      <c r="CH36" s="59"/>
      <c r="CI36" s="266" t="s">
        <v>478</v>
      </c>
      <c r="CJ36" s="267" t="s">
        <v>453</v>
      </c>
      <c r="CK36" s="268">
        <v>970800</v>
      </c>
      <c r="CM36" s="43" t="str">
        <f t="shared" si="18"/>
        <v>(CA) - MARIN COUNTY</v>
      </c>
      <c r="CN36" s="269">
        <f t="shared" si="17"/>
        <v>970800</v>
      </c>
      <c r="CO36" s="269"/>
      <c r="CQ36" s="263" t="s">
        <v>478</v>
      </c>
      <c r="CR36" s="264" t="s">
        <v>453</v>
      </c>
      <c r="CS36" s="265">
        <v>1089300</v>
      </c>
      <c r="CV36" s="43" t="str">
        <f t="shared" si="11"/>
        <v>(CA) - LOS ANGELES COUNTY</v>
      </c>
      <c r="CW36" s="70">
        <f t="shared" si="12"/>
        <v>1089300</v>
      </c>
    </row>
    <row r="37" spans="6:101" ht="15.75" thickBot="1" x14ac:dyDescent="0.3">
      <c r="F37" s="43" t="s">
        <v>479</v>
      </c>
      <c r="G37" s="58">
        <v>418750</v>
      </c>
      <c r="H37" s="58"/>
      <c r="I37" s="43" t="s">
        <v>450</v>
      </c>
      <c r="J37" s="68" t="s">
        <v>480</v>
      </c>
      <c r="K37" s="68" t="str">
        <f t="shared" si="2"/>
        <v>(CA ) - MONTEREY</v>
      </c>
      <c r="L37" s="69">
        <v>431250</v>
      </c>
      <c r="M37" s="68" t="s">
        <v>452</v>
      </c>
      <c r="N37" s="58"/>
      <c r="R37" s="43" t="s">
        <v>453</v>
      </c>
      <c r="S37" s="43" t="s">
        <v>481</v>
      </c>
      <c r="T37" s="68" t="str">
        <f t="shared" si="3"/>
        <v xml:space="preserve">(CA) - ORANGE </v>
      </c>
      <c r="U37" s="70">
        <v>621000</v>
      </c>
      <c r="Y37" s="43" t="s">
        <v>453</v>
      </c>
      <c r="Z37" s="43" t="s">
        <v>474</v>
      </c>
      <c r="AA37" s="68" t="str">
        <f t="shared" si="4"/>
        <v xml:space="preserve">(CA) - NAPA </v>
      </c>
      <c r="AB37" s="59">
        <v>500000</v>
      </c>
      <c r="AF37" s="68" t="s">
        <v>453</v>
      </c>
      <c r="AG37" s="68" t="s">
        <v>475</v>
      </c>
      <c r="AH37" s="68" t="str">
        <f t="shared" si="5"/>
        <v xml:space="preserve">(CA) - MONTEREY </v>
      </c>
      <c r="AI37" s="71">
        <v>425000</v>
      </c>
      <c r="AK37" s="72" t="s">
        <v>453</v>
      </c>
      <c r="AL37" s="73" t="s">
        <v>480</v>
      </c>
      <c r="AM37" s="74" t="str">
        <f t="shared" si="6"/>
        <v>(CA) - MONTEREY</v>
      </c>
      <c r="AN37" s="75">
        <v>500000</v>
      </c>
      <c r="AP37" s="72" t="s">
        <v>453</v>
      </c>
      <c r="AQ37" s="73" t="s">
        <v>477</v>
      </c>
      <c r="AR37" s="74" t="str">
        <f t="shared" si="7"/>
        <v>(CA) - MARIN</v>
      </c>
      <c r="AS37" s="75">
        <v>1050000</v>
      </c>
      <c r="AU37" s="35" t="s">
        <v>453</v>
      </c>
      <c r="AV37" s="36" t="s">
        <v>477</v>
      </c>
      <c r="AW37" s="74" t="str">
        <f t="shared" si="13"/>
        <v>(CA) - MARIN</v>
      </c>
      <c r="AX37" s="76">
        <v>625500</v>
      </c>
      <c r="AZ37" s="37" t="s">
        <v>453</v>
      </c>
      <c r="BA37" s="38" t="s">
        <v>477</v>
      </c>
      <c r="BB37" s="74" t="str">
        <f t="shared" si="14"/>
        <v>(CA) - MARIN</v>
      </c>
      <c r="BC37" s="76">
        <v>625500</v>
      </c>
      <c r="BE37" s="39" t="s">
        <v>453</v>
      </c>
      <c r="BF37" s="40" t="s">
        <v>477</v>
      </c>
      <c r="BG37" s="41" t="str">
        <f t="shared" si="8"/>
        <v>(CA) - MARIN</v>
      </c>
      <c r="BH37" s="77">
        <v>636150</v>
      </c>
      <c r="BK37" s="37" t="s">
        <v>453</v>
      </c>
      <c r="BL37" s="38" t="s">
        <v>477</v>
      </c>
      <c r="BM37" s="43" t="str">
        <f t="shared" si="15"/>
        <v>(CA) - MARIN</v>
      </c>
      <c r="BN37" s="76">
        <v>679650</v>
      </c>
      <c r="BQ37" s="38" t="s">
        <v>482</v>
      </c>
      <c r="BR37" s="37" t="s">
        <v>453</v>
      </c>
      <c r="BS37" s="78" t="str">
        <f t="shared" si="9"/>
        <v>(CA) - MONO</v>
      </c>
      <c r="BT37" s="79">
        <v>529000</v>
      </c>
      <c r="BW37" s="38" t="s">
        <v>476</v>
      </c>
      <c r="BX37" s="37" t="s">
        <v>453</v>
      </c>
      <c r="BY37" s="78" t="str">
        <f t="shared" si="10"/>
        <v xml:space="preserve">(CA) - MONO </v>
      </c>
      <c r="BZ37" s="80">
        <v>529000</v>
      </c>
      <c r="CC37" s="43" t="s">
        <v>456</v>
      </c>
      <c r="CD37" s="43" t="s">
        <v>483</v>
      </c>
      <c r="CE37" s="37" t="s">
        <v>453</v>
      </c>
      <c r="CF37" s="81" t="str">
        <f t="shared" si="16"/>
        <v>(CA) - MONTEREY COUNTY</v>
      </c>
      <c r="CG37" s="59">
        <v>739450</v>
      </c>
      <c r="CH37" s="59"/>
      <c r="CI37" s="263" t="s">
        <v>483</v>
      </c>
      <c r="CJ37" s="264" t="s">
        <v>453</v>
      </c>
      <c r="CK37" s="265">
        <v>854450</v>
      </c>
      <c r="CM37" s="43" t="str">
        <f t="shared" si="18"/>
        <v>(CA) - MONTEREY COUNTY</v>
      </c>
      <c r="CN37" s="269">
        <f t="shared" si="17"/>
        <v>854450</v>
      </c>
      <c r="CO37" s="269"/>
      <c r="CQ37" s="266" t="s">
        <v>483</v>
      </c>
      <c r="CR37" s="267" t="s">
        <v>453</v>
      </c>
      <c r="CS37" s="268">
        <v>915400</v>
      </c>
      <c r="CV37" s="43" t="str">
        <f t="shared" si="11"/>
        <v>(CA) - MARIN COUNTY</v>
      </c>
      <c r="CW37" s="70">
        <f t="shared" si="12"/>
        <v>1089300</v>
      </c>
    </row>
    <row r="38" spans="6:101" ht="15.75" thickBot="1" x14ac:dyDescent="0.3">
      <c r="F38" s="43" t="s">
        <v>484</v>
      </c>
      <c r="G38" s="58">
        <v>593750</v>
      </c>
      <c r="H38" s="58"/>
      <c r="I38" s="43" t="s">
        <v>450</v>
      </c>
      <c r="J38" s="68" t="s">
        <v>474</v>
      </c>
      <c r="K38" s="68" t="str">
        <f t="shared" si="2"/>
        <v xml:space="preserve">(CA ) - NAPA </v>
      </c>
      <c r="L38" s="69">
        <v>530000</v>
      </c>
      <c r="M38" s="68" t="s">
        <v>452</v>
      </c>
      <c r="N38" s="58"/>
      <c r="R38" s="43" t="s">
        <v>453</v>
      </c>
      <c r="S38" s="43" t="s">
        <v>485</v>
      </c>
      <c r="T38" s="68" t="str">
        <f t="shared" si="3"/>
        <v xml:space="preserve">(CA) - SAN BENITO </v>
      </c>
      <c r="U38" s="70">
        <v>625500</v>
      </c>
      <c r="Y38" s="43" t="s">
        <v>453</v>
      </c>
      <c r="Z38" s="43" t="s">
        <v>481</v>
      </c>
      <c r="AA38" s="68" t="str">
        <f t="shared" si="4"/>
        <v xml:space="preserve">(CA) - ORANGE </v>
      </c>
      <c r="AB38" s="59">
        <v>675000</v>
      </c>
      <c r="AF38" s="68" t="s">
        <v>453</v>
      </c>
      <c r="AG38" s="68" t="s">
        <v>474</v>
      </c>
      <c r="AH38" s="68" t="str">
        <f t="shared" si="5"/>
        <v xml:space="preserve">(CA) - NAPA </v>
      </c>
      <c r="AI38" s="71">
        <v>521250</v>
      </c>
      <c r="AK38" s="72" t="s">
        <v>453</v>
      </c>
      <c r="AL38" s="73" t="s">
        <v>486</v>
      </c>
      <c r="AM38" s="74" t="str">
        <f t="shared" si="6"/>
        <v>(CA) - NAPA</v>
      </c>
      <c r="AN38" s="75">
        <v>575000</v>
      </c>
      <c r="AP38" s="72" t="s">
        <v>453</v>
      </c>
      <c r="AQ38" s="73" t="s">
        <v>482</v>
      </c>
      <c r="AR38" s="74" t="str">
        <f t="shared" si="7"/>
        <v>(CA) - MONO</v>
      </c>
      <c r="AS38" s="75">
        <v>529000</v>
      </c>
      <c r="AU38" s="35" t="s">
        <v>453</v>
      </c>
      <c r="AV38" s="36" t="s">
        <v>482</v>
      </c>
      <c r="AW38" s="74" t="str">
        <f t="shared" si="13"/>
        <v>(CA) - MONO</v>
      </c>
      <c r="AX38" s="76">
        <v>529000</v>
      </c>
      <c r="AZ38" s="37" t="s">
        <v>453</v>
      </c>
      <c r="BA38" s="38" t="s">
        <v>482</v>
      </c>
      <c r="BB38" s="74" t="str">
        <f t="shared" si="14"/>
        <v>(CA) - MONO</v>
      </c>
      <c r="BC38" s="76">
        <v>529000</v>
      </c>
      <c r="BE38" s="39" t="s">
        <v>453</v>
      </c>
      <c r="BF38" s="40" t="s">
        <v>482</v>
      </c>
      <c r="BG38" s="41" t="str">
        <f t="shared" si="8"/>
        <v>(CA) - MONO</v>
      </c>
      <c r="BH38" s="77">
        <v>529000</v>
      </c>
      <c r="BK38" s="37" t="s">
        <v>453</v>
      </c>
      <c r="BL38" s="38" t="s">
        <v>482</v>
      </c>
      <c r="BM38" s="43" t="str">
        <f t="shared" si="15"/>
        <v>(CA) - MONO</v>
      </c>
      <c r="BN38" s="76">
        <v>529000</v>
      </c>
      <c r="BQ38" s="38" t="s">
        <v>480</v>
      </c>
      <c r="BR38" s="37" t="s">
        <v>453</v>
      </c>
      <c r="BS38" s="78" t="str">
        <f t="shared" si="9"/>
        <v>(CA) - MONTEREY</v>
      </c>
      <c r="BT38" s="79">
        <v>652050</v>
      </c>
      <c r="BW38" s="38" t="s">
        <v>475</v>
      </c>
      <c r="BX38" s="37" t="s">
        <v>453</v>
      </c>
      <c r="BY38" s="78" t="str">
        <f t="shared" si="10"/>
        <v xml:space="preserve">(CA) - MONTEREY </v>
      </c>
      <c r="BZ38" s="80">
        <v>672750</v>
      </c>
      <c r="CC38" s="43" t="s">
        <v>456</v>
      </c>
      <c r="CD38" s="43" t="s">
        <v>487</v>
      </c>
      <c r="CE38" s="37" t="s">
        <v>453</v>
      </c>
      <c r="CF38" s="81" t="str">
        <f t="shared" si="16"/>
        <v>(CA) - NAPA COUNTY</v>
      </c>
      <c r="CG38" s="59">
        <v>816500</v>
      </c>
      <c r="CH38" s="59"/>
      <c r="CI38" s="266" t="s">
        <v>487</v>
      </c>
      <c r="CJ38" s="267" t="s">
        <v>453</v>
      </c>
      <c r="CK38" s="268">
        <v>897000</v>
      </c>
      <c r="CM38" s="43" t="str">
        <f t="shared" si="18"/>
        <v>(CA) - NAPA COUNTY</v>
      </c>
      <c r="CN38" s="269">
        <f t="shared" si="17"/>
        <v>897000</v>
      </c>
      <c r="CO38" s="269"/>
      <c r="CQ38" s="263" t="s">
        <v>487</v>
      </c>
      <c r="CR38" s="264" t="s">
        <v>453</v>
      </c>
      <c r="CS38" s="265">
        <v>1017750</v>
      </c>
      <c r="CV38" s="43" t="str">
        <f t="shared" si="11"/>
        <v>(CA) - MONTEREY COUNTY</v>
      </c>
      <c r="CW38" s="70">
        <f t="shared" si="12"/>
        <v>915400</v>
      </c>
    </row>
    <row r="39" spans="6:101" ht="15.75" thickBot="1" x14ac:dyDescent="0.3">
      <c r="F39" s="43" t="s">
        <v>488</v>
      </c>
      <c r="G39" s="58">
        <v>418750</v>
      </c>
      <c r="H39" s="58"/>
      <c r="I39" s="43" t="s">
        <v>450</v>
      </c>
      <c r="J39" s="68" t="s">
        <v>489</v>
      </c>
      <c r="K39" s="68" t="str">
        <f t="shared" si="2"/>
        <v xml:space="preserve">(CA ) - NEVADA </v>
      </c>
      <c r="L39" s="69">
        <v>431250</v>
      </c>
      <c r="M39" s="68" t="s">
        <v>452</v>
      </c>
      <c r="N39" s="58"/>
      <c r="R39" s="43" t="s">
        <v>453</v>
      </c>
      <c r="S39" s="43" t="s">
        <v>490</v>
      </c>
      <c r="T39" s="68" t="str">
        <f t="shared" si="3"/>
        <v xml:space="preserve">(CA) - SAN DIEGO </v>
      </c>
      <c r="U39" s="70">
        <v>477000</v>
      </c>
      <c r="Y39" s="43" t="s">
        <v>453</v>
      </c>
      <c r="Z39" s="43" t="s">
        <v>485</v>
      </c>
      <c r="AA39" s="68" t="str">
        <f t="shared" si="4"/>
        <v xml:space="preserve">(CA) - SAN BENITO </v>
      </c>
      <c r="AB39" s="59">
        <v>831250</v>
      </c>
      <c r="AF39" s="68" t="s">
        <v>453</v>
      </c>
      <c r="AG39" s="68" t="s">
        <v>481</v>
      </c>
      <c r="AH39" s="68" t="str">
        <f t="shared" si="5"/>
        <v xml:space="preserve">(CA) - ORANGE </v>
      </c>
      <c r="AI39" s="71">
        <v>668750</v>
      </c>
      <c r="AK39" s="72" t="s">
        <v>453</v>
      </c>
      <c r="AL39" s="73" t="s">
        <v>491</v>
      </c>
      <c r="AM39" s="74" t="str">
        <f t="shared" si="6"/>
        <v>(CA) - ORANGE</v>
      </c>
      <c r="AN39" s="75">
        <v>687500</v>
      </c>
      <c r="AP39" s="72" t="s">
        <v>453</v>
      </c>
      <c r="AQ39" s="73" t="s">
        <v>480</v>
      </c>
      <c r="AR39" s="74" t="str">
        <f t="shared" si="7"/>
        <v>(CA) - MONTEREY</v>
      </c>
      <c r="AS39" s="75">
        <v>500000</v>
      </c>
      <c r="AU39" s="35" t="s">
        <v>453</v>
      </c>
      <c r="AV39" s="36" t="s">
        <v>480</v>
      </c>
      <c r="AW39" s="74" t="str">
        <f t="shared" si="13"/>
        <v>(CA) - MONTEREY</v>
      </c>
      <c r="AX39" s="76">
        <v>502550</v>
      </c>
      <c r="AZ39" s="37" t="s">
        <v>453</v>
      </c>
      <c r="BA39" s="38" t="s">
        <v>480</v>
      </c>
      <c r="BB39" s="74" t="str">
        <f t="shared" si="14"/>
        <v>(CA) - MONTEREY</v>
      </c>
      <c r="BC39" s="76">
        <v>529000</v>
      </c>
      <c r="BE39" s="39" t="s">
        <v>453</v>
      </c>
      <c r="BF39" s="40" t="s">
        <v>480</v>
      </c>
      <c r="BG39" s="41" t="str">
        <f t="shared" si="8"/>
        <v>(CA) - MONTEREY</v>
      </c>
      <c r="BH39" s="77">
        <v>575000</v>
      </c>
      <c r="BK39" s="37" t="s">
        <v>453</v>
      </c>
      <c r="BL39" s="38" t="s">
        <v>480</v>
      </c>
      <c r="BM39" s="43" t="str">
        <f t="shared" si="15"/>
        <v>(CA) - MONTEREY</v>
      </c>
      <c r="BN39" s="76">
        <v>615250</v>
      </c>
      <c r="BQ39" s="38" t="s">
        <v>486</v>
      </c>
      <c r="BR39" s="37" t="s">
        <v>453</v>
      </c>
      <c r="BS39" s="78" t="str">
        <f t="shared" si="9"/>
        <v>(CA) - NAPA</v>
      </c>
      <c r="BT39" s="79">
        <v>726525</v>
      </c>
      <c r="BW39" s="38" t="s">
        <v>474</v>
      </c>
      <c r="BX39" s="37" t="s">
        <v>453</v>
      </c>
      <c r="BY39" s="78" t="str">
        <f t="shared" si="10"/>
        <v xml:space="preserve">(CA) - NAPA </v>
      </c>
      <c r="BZ39" s="80">
        <v>764750</v>
      </c>
      <c r="CC39" s="43" t="s">
        <v>456</v>
      </c>
      <c r="CD39" s="43" t="s">
        <v>492</v>
      </c>
      <c r="CE39" s="37" t="s">
        <v>453</v>
      </c>
      <c r="CF39" s="81" t="str">
        <f t="shared" si="16"/>
        <v>(CA) - ORANGE COUNTY</v>
      </c>
      <c r="CG39" s="59">
        <v>822375</v>
      </c>
      <c r="CH39" s="59"/>
      <c r="CI39" s="263" t="s">
        <v>492</v>
      </c>
      <c r="CJ39" s="264" t="s">
        <v>453</v>
      </c>
      <c r="CK39" s="265">
        <v>970800</v>
      </c>
      <c r="CM39" s="43" t="str">
        <f t="shared" si="18"/>
        <v>(CA) - ORANGE COUNTY</v>
      </c>
      <c r="CN39" s="269">
        <f t="shared" si="17"/>
        <v>970800</v>
      </c>
      <c r="CO39" s="269"/>
      <c r="CQ39" s="266" t="s">
        <v>492</v>
      </c>
      <c r="CR39" s="267" t="s">
        <v>453</v>
      </c>
      <c r="CS39" s="268">
        <v>1089300</v>
      </c>
      <c r="CV39" s="43" t="str">
        <f t="shared" si="11"/>
        <v>(CA) - NAPA COUNTY</v>
      </c>
      <c r="CW39" s="70">
        <f t="shared" si="12"/>
        <v>1017750</v>
      </c>
    </row>
    <row r="40" spans="6:101" ht="15.75" thickBot="1" x14ac:dyDescent="0.3">
      <c r="F40" s="43" t="s">
        <v>493</v>
      </c>
      <c r="G40" s="58">
        <v>418750</v>
      </c>
      <c r="H40" s="58"/>
      <c r="I40" s="43" t="s">
        <v>450</v>
      </c>
      <c r="J40" s="68" t="s">
        <v>481</v>
      </c>
      <c r="K40" s="68" t="str">
        <f t="shared" si="2"/>
        <v xml:space="preserve">(CA ) - ORANGE </v>
      </c>
      <c r="L40" s="69">
        <v>700000</v>
      </c>
      <c r="M40" s="68" t="s">
        <v>452</v>
      </c>
      <c r="N40" s="58"/>
      <c r="R40" s="43" t="s">
        <v>453</v>
      </c>
      <c r="S40" s="43" t="s">
        <v>494</v>
      </c>
      <c r="T40" s="68" t="str">
        <f t="shared" si="3"/>
        <v xml:space="preserve">(CA) - SAN FRANCISCO </v>
      </c>
      <c r="U40" s="70">
        <v>625500</v>
      </c>
      <c r="Y40" s="43" t="s">
        <v>453</v>
      </c>
      <c r="Z40" s="43" t="s">
        <v>490</v>
      </c>
      <c r="AA40" s="68" t="str">
        <f t="shared" si="4"/>
        <v xml:space="preserve">(CA) - SAN DIEGO </v>
      </c>
      <c r="AB40" s="59">
        <v>518750</v>
      </c>
      <c r="AF40" s="68" t="s">
        <v>453</v>
      </c>
      <c r="AG40" s="68" t="s">
        <v>485</v>
      </c>
      <c r="AH40" s="68" t="str">
        <f t="shared" si="5"/>
        <v xml:space="preserve">(CA) - SAN BENITO </v>
      </c>
      <c r="AI40" s="71">
        <v>823750</v>
      </c>
      <c r="AK40" s="85" t="s">
        <v>453</v>
      </c>
      <c r="AL40" s="86" t="s">
        <v>495</v>
      </c>
      <c r="AM40" s="74" t="str">
        <f t="shared" si="6"/>
        <v>(CA) - PLACER</v>
      </c>
      <c r="AN40" s="87">
        <v>437500</v>
      </c>
      <c r="AP40" s="72" t="s">
        <v>453</v>
      </c>
      <c r="AQ40" s="73" t="s">
        <v>486</v>
      </c>
      <c r="AR40" s="74" t="str">
        <f t="shared" si="7"/>
        <v>(CA) - NAPA</v>
      </c>
      <c r="AS40" s="75">
        <v>592250</v>
      </c>
      <c r="AU40" s="35" t="s">
        <v>453</v>
      </c>
      <c r="AV40" s="36" t="s">
        <v>486</v>
      </c>
      <c r="AW40" s="74" t="str">
        <f t="shared" si="13"/>
        <v>(CA) - NAPA</v>
      </c>
      <c r="AX40" s="76">
        <v>615250</v>
      </c>
      <c r="AZ40" s="37" t="s">
        <v>453</v>
      </c>
      <c r="BA40" s="38" t="s">
        <v>486</v>
      </c>
      <c r="BB40" s="74" t="str">
        <f t="shared" si="14"/>
        <v>(CA) - NAPA</v>
      </c>
      <c r="BC40" s="76">
        <v>625500</v>
      </c>
      <c r="BE40" s="39" t="s">
        <v>453</v>
      </c>
      <c r="BF40" s="40" t="s">
        <v>486</v>
      </c>
      <c r="BG40" s="41" t="str">
        <f t="shared" si="8"/>
        <v>(CA) - NAPA</v>
      </c>
      <c r="BH40" s="77">
        <v>636150</v>
      </c>
      <c r="BK40" s="37" t="s">
        <v>453</v>
      </c>
      <c r="BL40" s="38" t="s">
        <v>486</v>
      </c>
      <c r="BM40" s="43" t="str">
        <f t="shared" si="15"/>
        <v>(CA) - NAPA</v>
      </c>
      <c r="BN40" s="76">
        <v>679650</v>
      </c>
      <c r="BQ40" s="38" t="s">
        <v>496</v>
      </c>
      <c r="BR40" s="37" t="s">
        <v>453</v>
      </c>
      <c r="BS40" s="78" t="str">
        <f t="shared" si="9"/>
        <v>(CA) - NEVADA</v>
      </c>
      <c r="BT40" s="79">
        <v>486450</v>
      </c>
      <c r="BW40" s="38" t="s">
        <v>481</v>
      </c>
      <c r="BX40" s="37" t="s">
        <v>453</v>
      </c>
      <c r="BY40" s="78" t="str">
        <f t="shared" si="10"/>
        <v xml:space="preserve">(CA) - ORANGE </v>
      </c>
      <c r="BZ40" s="80">
        <v>765600</v>
      </c>
      <c r="CC40" s="43" t="s">
        <v>456</v>
      </c>
      <c r="CD40" s="43" t="s">
        <v>497</v>
      </c>
      <c r="CE40" s="37" t="s">
        <v>453</v>
      </c>
      <c r="CF40" s="81" t="str">
        <f t="shared" si="16"/>
        <v>(CA) - PLACER COUNTY</v>
      </c>
      <c r="CG40" s="59">
        <v>598000</v>
      </c>
      <c r="CH40" s="59"/>
      <c r="CI40" s="266" t="s">
        <v>497</v>
      </c>
      <c r="CJ40" s="267" t="s">
        <v>453</v>
      </c>
      <c r="CK40" s="268">
        <v>675050</v>
      </c>
      <c r="CM40" s="43" t="str">
        <f t="shared" si="18"/>
        <v>(CA) - PLACER COUNTY</v>
      </c>
      <c r="CN40" s="269">
        <f t="shared" si="17"/>
        <v>675050</v>
      </c>
      <c r="CO40" s="269"/>
      <c r="CQ40" s="263" t="s">
        <v>497</v>
      </c>
      <c r="CR40" s="264" t="s">
        <v>453</v>
      </c>
      <c r="CS40" s="265">
        <v>763600</v>
      </c>
      <c r="CV40" s="43" t="str">
        <f t="shared" si="11"/>
        <v>(CA) - ORANGE COUNTY</v>
      </c>
      <c r="CW40" s="70">
        <f t="shared" si="12"/>
        <v>1089300</v>
      </c>
    </row>
    <row r="41" spans="6:101" ht="15.75" thickBot="1" x14ac:dyDescent="0.3">
      <c r="F41" s="43" t="s">
        <v>498</v>
      </c>
      <c r="G41" s="58">
        <v>633750</v>
      </c>
      <c r="H41" s="58"/>
      <c r="I41" s="43" t="s">
        <v>450</v>
      </c>
      <c r="J41" s="68" t="s">
        <v>485</v>
      </c>
      <c r="K41" s="68" t="str">
        <f t="shared" si="2"/>
        <v xml:space="preserve">(CA ) - SAN BENITO </v>
      </c>
      <c r="L41" s="69">
        <v>843750</v>
      </c>
      <c r="M41" s="68" t="s">
        <v>452</v>
      </c>
      <c r="N41" s="58"/>
      <c r="R41" s="43" t="s">
        <v>453</v>
      </c>
      <c r="S41" s="43" t="s">
        <v>499</v>
      </c>
      <c r="T41" s="68" t="str">
        <f t="shared" si="3"/>
        <v xml:space="preserve">(CA) - SAN LUIS OBISPO </v>
      </c>
      <c r="U41" s="70">
        <v>457700</v>
      </c>
      <c r="Y41" s="43" t="s">
        <v>453</v>
      </c>
      <c r="Z41" s="43" t="s">
        <v>494</v>
      </c>
      <c r="AA41" s="68" t="str">
        <f t="shared" si="4"/>
        <v xml:space="preserve">(CA) - SAN FRANCISCO </v>
      </c>
      <c r="AB41" s="59">
        <v>1000000</v>
      </c>
      <c r="AF41" s="68" t="s">
        <v>453</v>
      </c>
      <c r="AG41" s="68" t="s">
        <v>490</v>
      </c>
      <c r="AH41" s="68" t="str">
        <f t="shared" si="5"/>
        <v xml:space="preserve">(CA) - SAN DIEGO </v>
      </c>
      <c r="AI41" s="71">
        <v>500000</v>
      </c>
      <c r="AK41" s="85" t="s">
        <v>453</v>
      </c>
      <c r="AL41" s="86" t="s">
        <v>500</v>
      </c>
      <c r="AM41" s="74" t="str">
        <f t="shared" si="6"/>
        <v>(CA) - SACRAMENTO</v>
      </c>
      <c r="AN41" s="87">
        <v>437500</v>
      </c>
      <c r="AP41" s="72" t="s">
        <v>453</v>
      </c>
      <c r="AQ41" s="73" t="s">
        <v>496</v>
      </c>
      <c r="AR41" s="74" t="str">
        <f t="shared" si="7"/>
        <v>(CA) - NEVADA</v>
      </c>
      <c r="AS41" s="75">
        <v>477250</v>
      </c>
      <c r="AU41" s="35" t="s">
        <v>453</v>
      </c>
      <c r="AV41" s="36" t="s">
        <v>496</v>
      </c>
      <c r="AW41" s="74" t="str">
        <f t="shared" si="13"/>
        <v>(CA) - NEVADA</v>
      </c>
      <c r="AX41" s="76">
        <v>477250</v>
      </c>
      <c r="AZ41" s="37" t="s">
        <v>453</v>
      </c>
      <c r="BA41" s="38" t="s">
        <v>496</v>
      </c>
      <c r="BB41" s="74" t="str">
        <f t="shared" si="14"/>
        <v>(CA) - NEVADA</v>
      </c>
      <c r="BC41" s="76">
        <v>477250</v>
      </c>
      <c r="BE41" s="39" t="s">
        <v>453</v>
      </c>
      <c r="BF41" s="40" t="s">
        <v>496</v>
      </c>
      <c r="BG41" s="41" t="str">
        <f t="shared" si="8"/>
        <v>(CA) - NEVADA</v>
      </c>
      <c r="BH41" s="77">
        <v>477250</v>
      </c>
      <c r="BK41" s="37" t="s">
        <v>453</v>
      </c>
      <c r="BL41" s="38" t="s">
        <v>496</v>
      </c>
      <c r="BM41" s="43" t="str">
        <f t="shared" si="15"/>
        <v>(CA) - NEVADA</v>
      </c>
      <c r="BN41" s="76">
        <v>477250</v>
      </c>
      <c r="BQ41" s="38" t="s">
        <v>491</v>
      </c>
      <c r="BR41" s="37" t="s">
        <v>453</v>
      </c>
      <c r="BS41" s="78" t="str">
        <f t="shared" si="9"/>
        <v>(CA) - ORANGE</v>
      </c>
      <c r="BT41" s="79">
        <v>726525</v>
      </c>
      <c r="BW41" s="38" t="s">
        <v>501</v>
      </c>
      <c r="BX41" s="37" t="s">
        <v>453</v>
      </c>
      <c r="BY41" s="78" t="str">
        <f t="shared" si="10"/>
        <v xml:space="preserve">(CA) - PLACER </v>
      </c>
      <c r="BZ41" s="80">
        <v>569250</v>
      </c>
      <c r="CC41" s="43" t="s">
        <v>456</v>
      </c>
      <c r="CD41" s="43" t="s">
        <v>502</v>
      </c>
      <c r="CE41" s="37" t="s">
        <v>453</v>
      </c>
      <c r="CF41" s="81" t="str">
        <f t="shared" si="16"/>
        <v>(CA) - SACRAMENTO COUNTY</v>
      </c>
      <c r="CG41" s="59">
        <v>598000</v>
      </c>
      <c r="CH41" s="59"/>
      <c r="CI41" s="263" t="s">
        <v>502</v>
      </c>
      <c r="CJ41" s="264" t="s">
        <v>453</v>
      </c>
      <c r="CK41" s="265">
        <v>675050</v>
      </c>
      <c r="CM41" s="43" t="str">
        <f t="shared" si="18"/>
        <v>(CA) - SACRAMENTO COUNTY</v>
      </c>
      <c r="CN41" s="269">
        <f t="shared" si="17"/>
        <v>675050</v>
      </c>
      <c r="CO41" s="269"/>
      <c r="CQ41" s="266" t="s">
        <v>502</v>
      </c>
      <c r="CR41" s="267" t="s">
        <v>453</v>
      </c>
      <c r="CS41" s="268">
        <v>763600</v>
      </c>
      <c r="CV41" s="43" t="str">
        <f t="shared" si="11"/>
        <v>(CA) - PLACER COUNTY</v>
      </c>
      <c r="CW41" s="70">
        <f t="shared" si="12"/>
        <v>763600</v>
      </c>
    </row>
    <row r="42" spans="6:101" ht="15.75" thickBot="1" x14ac:dyDescent="0.3">
      <c r="F42" s="43" t="s">
        <v>503</v>
      </c>
      <c r="G42" s="58">
        <v>437500</v>
      </c>
      <c r="H42" s="58"/>
      <c r="I42" s="43" t="s">
        <v>450</v>
      </c>
      <c r="J42" s="68" t="s">
        <v>490</v>
      </c>
      <c r="K42" s="68" t="str">
        <f t="shared" si="2"/>
        <v xml:space="preserve">(CA ) - SAN DIEGO </v>
      </c>
      <c r="L42" s="69">
        <v>537500</v>
      </c>
      <c r="M42" s="68" t="s">
        <v>452</v>
      </c>
      <c r="N42" s="58"/>
      <c r="R42" s="43" t="s">
        <v>453</v>
      </c>
      <c r="S42" s="43" t="s">
        <v>504</v>
      </c>
      <c r="T42" s="68" t="str">
        <f t="shared" si="3"/>
        <v xml:space="preserve">(CA) - SAN MATEO </v>
      </c>
      <c r="U42" s="70">
        <v>625500</v>
      </c>
      <c r="Y42" s="43" t="s">
        <v>453</v>
      </c>
      <c r="Z42" s="43" t="s">
        <v>499</v>
      </c>
      <c r="AA42" s="68" t="str">
        <f t="shared" si="4"/>
        <v xml:space="preserve">(CA) - SAN LUIS OBISPO </v>
      </c>
      <c r="AB42" s="59">
        <v>497500</v>
      </c>
      <c r="AF42" s="68" t="s">
        <v>453</v>
      </c>
      <c r="AG42" s="68" t="s">
        <v>494</v>
      </c>
      <c r="AH42" s="68" t="str">
        <f t="shared" si="5"/>
        <v xml:space="preserve">(CA) - SAN FRANCISCO </v>
      </c>
      <c r="AI42" s="71">
        <v>987500</v>
      </c>
      <c r="AK42" s="72" t="s">
        <v>453</v>
      </c>
      <c r="AL42" s="73" t="s">
        <v>505</v>
      </c>
      <c r="AM42" s="74" t="str">
        <f t="shared" si="6"/>
        <v>(CA) - SAN BENITO</v>
      </c>
      <c r="AN42" s="75">
        <v>827500</v>
      </c>
      <c r="AP42" s="72" t="s">
        <v>453</v>
      </c>
      <c r="AQ42" s="73" t="s">
        <v>491</v>
      </c>
      <c r="AR42" s="74" t="str">
        <f t="shared" si="7"/>
        <v>(CA) - ORANGE</v>
      </c>
      <c r="AS42" s="75">
        <v>687500</v>
      </c>
      <c r="AU42" s="35" t="s">
        <v>453</v>
      </c>
      <c r="AV42" s="36" t="s">
        <v>491</v>
      </c>
      <c r="AW42" s="74" t="str">
        <f t="shared" si="13"/>
        <v>(CA) - ORANGE</v>
      </c>
      <c r="AX42" s="76">
        <v>625500</v>
      </c>
      <c r="AZ42" s="37" t="s">
        <v>453</v>
      </c>
      <c r="BA42" s="38" t="s">
        <v>491</v>
      </c>
      <c r="BB42" s="74" t="str">
        <f t="shared" si="14"/>
        <v>(CA) - ORANGE</v>
      </c>
      <c r="BC42" s="76">
        <v>625500</v>
      </c>
      <c r="BE42" s="39" t="s">
        <v>453</v>
      </c>
      <c r="BF42" s="40" t="s">
        <v>491</v>
      </c>
      <c r="BG42" s="41" t="str">
        <f t="shared" si="8"/>
        <v>(CA) - ORANGE</v>
      </c>
      <c r="BH42" s="77">
        <v>636150</v>
      </c>
      <c r="BK42" s="37" t="s">
        <v>453</v>
      </c>
      <c r="BL42" s="38" t="s">
        <v>491</v>
      </c>
      <c r="BM42" s="43" t="str">
        <f t="shared" si="15"/>
        <v>(CA) - ORANGE</v>
      </c>
      <c r="BN42" s="76">
        <v>679650</v>
      </c>
      <c r="BQ42" s="38" t="s">
        <v>495</v>
      </c>
      <c r="BR42" s="37" t="s">
        <v>453</v>
      </c>
      <c r="BS42" s="78" t="str">
        <f t="shared" si="9"/>
        <v>(CA) - PLACER</v>
      </c>
      <c r="BT42" s="79">
        <v>552000</v>
      </c>
      <c r="BW42" s="38" t="s">
        <v>506</v>
      </c>
      <c r="BX42" s="37" t="s">
        <v>453</v>
      </c>
      <c r="BY42" s="78" t="str">
        <f t="shared" si="10"/>
        <v xml:space="preserve">(CA) - SACRAMENTO </v>
      </c>
      <c r="BZ42" s="80">
        <v>569250</v>
      </c>
      <c r="CC42" s="43" t="s">
        <v>456</v>
      </c>
      <c r="CD42" s="43" t="s">
        <v>507</v>
      </c>
      <c r="CE42" s="37" t="s">
        <v>453</v>
      </c>
      <c r="CF42" s="81" t="str">
        <f t="shared" si="16"/>
        <v>(CA) - SAN BENITO COUNTY</v>
      </c>
      <c r="CG42" s="59">
        <v>822375</v>
      </c>
      <c r="CH42" s="59"/>
      <c r="CI42" s="266" t="s">
        <v>507</v>
      </c>
      <c r="CJ42" s="267" t="s">
        <v>453</v>
      </c>
      <c r="CK42" s="268">
        <v>970800</v>
      </c>
      <c r="CM42" s="43" t="str">
        <f t="shared" si="18"/>
        <v>(CA) - SAN BENITO COUNTY</v>
      </c>
      <c r="CN42" s="269">
        <f t="shared" si="17"/>
        <v>970800</v>
      </c>
      <c r="CO42" s="269"/>
      <c r="CQ42" s="263" t="s">
        <v>507</v>
      </c>
      <c r="CR42" s="264" t="s">
        <v>453</v>
      </c>
      <c r="CS42" s="265">
        <v>1089300</v>
      </c>
      <c r="CV42" s="43" t="str">
        <f t="shared" si="11"/>
        <v>(CA) - SACRAMENTO COUNTY</v>
      </c>
      <c r="CW42" s="70">
        <f t="shared" si="12"/>
        <v>763600</v>
      </c>
    </row>
    <row r="43" spans="6:101" ht="15.75" thickBot="1" x14ac:dyDescent="0.3">
      <c r="F43" s="43" t="s">
        <v>508</v>
      </c>
      <c r="G43" s="58">
        <v>962500</v>
      </c>
      <c r="H43" s="58"/>
      <c r="I43" s="43" t="s">
        <v>450</v>
      </c>
      <c r="J43" s="68" t="s">
        <v>494</v>
      </c>
      <c r="K43" s="68" t="str">
        <f t="shared" si="2"/>
        <v xml:space="preserve">(CA ) - SAN FRANCISCO </v>
      </c>
      <c r="L43" s="69">
        <v>1000000</v>
      </c>
      <c r="M43" s="68" t="s">
        <v>452</v>
      </c>
      <c r="N43" s="58"/>
      <c r="R43" s="43" t="s">
        <v>453</v>
      </c>
      <c r="S43" s="43" t="s">
        <v>509</v>
      </c>
      <c r="T43" s="68" t="str">
        <f t="shared" si="3"/>
        <v xml:space="preserve">(CA) - SANTA BARBARA </v>
      </c>
      <c r="U43" s="70">
        <v>598000</v>
      </c>
      <c r="Y43" s="43" t="s">
        <v>453</v>
      </c>
      <c r="Z43" s="43" t="s">
        <v>504</v>
      </c>
      <c r="AA43" s="68" t="str">
        <f t="shared" si="4"/>
        <v xml:space="preserve">(CA) - SAN MATEO </v>
      </c>
      <c r="AB43" s="59">
        <v>1000000</v>
      </c>
      <c r="AF43" s="68" t="s">
        <v>453</v>
      </c>
      <c r="AG43" s="68" t="s">
        <v>499</v>
      </c>
      <c r="AH43" s="68" t="str">
        <f t="shared" si="5"/>
        <v xml:space="preserve">(CA) - SAN LUIS OBISPO </v>
      </c>
      <c r="AI43" s="71">
        <v>481250</v>
      </c>
      <c r="AK43" s="72" t="s">
        <v>453</v>
      </c>
      <c r="AL43" s="73" t="s">
        <v>510</v>
      </c>
      <c r="AM43" s="74" t="str">
        <f t="shared" si="6"/>
        <v>(CA) - SAN DIEGO</v>
      </c>
      <c r="AN43" s="75">
        <v>527500</v>
      </c>
      <c r="AP43" s="72" t="s">
        <v>453</v>
      </c>
      <c r="AQ43" s="73" t="s">
        <v>495</v>
      </c>
      <c r="AR43" s="74" t="str">
        <f t="shared" si="7"/>
        <v>(CA) - PLACER</v>
      </c>
      <c r="AS43" s="75">
        <v>474950</v>
      </c>
      <c r="AU43" s="35" t="s">
        <v>453</v>
      </c>
      <c r="AV43" s="36" t="s">
        <v>495</v>
      </c>
      <c r="AW43" s="74" t="str">
        <f t="shared" si="13"/>
        <v>(CA) - PLACER</v>
      </c>
      <c r="AX43" s="76">
        <v>474950</v>
      </c>
      <c r="AZ43" s="37" t="s">
        <v>453</v>
      </c>
      <c r="BA43" s="38" t="s">
        <v>495</v>
      </c>
      <c r="BB43" s="74" t="str">
        <f t="shared" si="14"/>
        <v>(CA) - PLACER</v>
      </c>
      <c r="BC43" s="76">
        <v>474950</v>
      </c>
      <c r="BE43" s="39" t="s">
        <v>453</v>
      </c>
      <c r="BF43" s="40" t="s">
        <v>495</v>
      </c>
      <c r="BG43" s="41" t="str">
        <f t="shared" si="8"/>
        <v>(CA) - PLACER</v>
      </c>
      <c r="BH43" s="77">
        <v>488750</v>
      </c>
      <c r="BK43" s="37" t="s">
        <v>453</v>
      </c>
      <c r="BL43" s="38" t="s">
        <v>495</v>
      </c>
      <c r="BM43" s="43" t="str">
        <f t="shared" si="15"/>
        <v>(CA) - PLACER</v>
      </c>
      <c r="BN43" s="76">
        <v>517500</v>
      </c>
      <c r="BQ43" s="38" t="s">
        <v>500</v>
      </c>
      <c r="BR43" s="37" t="s">
        <v>453</v>
      </c>
      <c r="BS43" s="78" t="str">
        <f t="shared" si="9"/>
        <v>(CA) - SACRAMENTO</v>
      </c>
      <c r="BT43" s="79">
        <v>552000</v>
      </c>
      <c r="BW43" s="38" t="s">
        <v>485</v>
      </c>
      <c r="BX43" s="37" t="s">
        <v>453</v>
      </c>
      <c r="BY43" s="78" t="str">
        <f t="shared" si="10"/>
        <v xml:space="preserve">(CA) - SAN BENITO </v>
      </c>
      <c r="BZ43" s="80">
        <v>765600</v>
      </c>
      <c r="CC43" s="43" t="s">
        <v>456</v>
      </c>
      <c r="CD43" s="43" t="s">
        <v>511</v>
      </c>
      <c r="CE43" s="37" t="s">
        <v>453</v>
      </c>
      <c r="CF43" s="81" t="str">
        <f t="shared" si="16"/>
        <v>(CA) - SAN DIEGO COUNTY</v>
      </c>
      <c r="CG43" s="59">
        <v>753250</v>
      </c>
      <c r="CH43" s="59"/>
      <c r="CI43" s="263" t="s">
        <v>511</v>
      </c>
      <c r="CJ43" s="264" t="s">
        <v>453</v>
      </c>
      <c r="CK43" s="265">
        <v>879750</v>
      </c>
      <c r="CM43" s="43" t="str">
        <f t="shared" si="18"/>
        <v>(CA) - SAN DIEGO COUNTY</v>
      </c>
      <c r="CN43" s="269">
        <f t="shared" si="17"/>
        <v>879750</v>
      </c>
      <c r="CO43" s="269"/>
      <c r="CQ43" s="266" t="s">
        <v>511</v>
      </c>
      <c r="CR43" s="267" t="s">
        <v>453</v>
      </c>
      <c r="CS43" s="268">
        <v>977500</v>
      </c>
      <c r="CV43" s="43" t="str">
        <f t="shared" si="11"/>
        <v>(CA) - SAN BENITO COUNTY</v>
      </c>
      <c r="CW43" s="70">
        <f t="shared" si="12"/>
        <v>1089300</v>
      </c>
    </row>
    <row r="44" spans="6:101" ht="15.75" thickBot="1" x14ac:dyDescent="0.3">
      <c r="F44" s="43" t="s">
        <v>512</v>
      </c>
      <c r="G44" s="58">
        <v>487500</v>
      </c>
      <c r="H44" s="58"/>
      <c r="I44" s="43" t="s">
        <v>450</v>
      </c>
      <c r="J44" s="68" t="s">
        <v>499</v>
      </c>
      <c r="K44" s="68" t="str">
        <f t="shared" si="2"/>
        <v xml:space="preserve">(CA ) - SAN LUIS OBISPO </v>
      </c>
      <c r="L44" s="69">
        <v>528750</v>
      </c>
      <c r="M44" s="68" t="s">
        <v>452</v>
      </c>
      <c r="N44" s="58"/>
      <c r="R44" s="43" t="s">
        <v>453</v>
      </c>
      <c r="S44" s="43" t="s">
        <v>513</v>
      </c>
      <c r="T44" s="68" t="str">
        <f t="shared" si="3"/>
        <v xml:space="preserve">(CA) - SANTA CLARA </v>
      </c>
      <c r="U44" s="70">
        <v>625500</v>
      </c>
      <c r="Y44" s="43" t="s">
        <v>453</v>
      </c>
      <c r="Z44" s="43" t="s">
        <v>509</v>
      </c>
      <c r="AA44" s="68" t="str">
        <f t="shared" si="4"/>
        <v xml:space="preserve">(CA) - SANTA BARBARA </v>
      </c>
      <c r="AB44" s="59">
        <v>650000</v>
      </c>
      <c r="AF44" s="68" t="s">
        <v>453</v>
      </c>
      <c r="AG44" s="68" t="s">
        <v>504</v>
      </c>
      <c r="AH44" s="68" t="str">
        <f t="shared" si="5"/>
        <v xml:space="preserve">(CA) - SAN MATEO </v>
      </c>
      <c r="AI44" s="71">
        <v>987500</v>
      </c>
      <c r="AK44" s="72" t="s">
        <v>453</v>
      </c>
      <c r="AL44" s="73" t="s">
        <v>514</v>
      </c>
      <c r="AM44" s="74" t="str">
        <f t="shared" si="6"/>
        <v>(CA) - SAN FRANCISCO</v>
      </c>
      <c r="AN44" s="75">
        <v>1050000</v>
      </c>
      <c r="AP44" s="72" t="s">
        <v>453</v>
      </c>
      <c r="AQ44" s="73" t="s">
        <v>500</v>
      </c>
      <c r="AR44" s="74" t="str">
        <f t="shared" si="7"/>
        <v>(CA) - SACRAMENTO</v>
      </c>
      <c r="AS44" s="75">
        <v>474950</v>
      </c>
      <c r="AU44" s="35" t="s">
        <v>453</v>
      </c>
      <c r="AV44" s="36" t="s">
        <v>500</v>
      </c>
      <c r="AW44" s="74" t="str">
        <f t="shared" si="13"/>
        <v>(CA) - SACRAMENTO</v>
      </c>
      <c r="AX44" s="76">
        <v>474950</v>
      </c>
      <c r="AZ44" s="37" t="s">
        <v>453</v>
      </c>
      <c r="BA44" s="38" t="s">
        <v>500</v>
      </c>
      <c r="BB44" s="74" t="str">
        <f t="shared" si="14"/>
        <v>(CA) - SACRAMENTO</v>
      </c>
      <c r="BC44" s="76">
        <v>474950</v>
      </c>
      <c r="BE44" s="39" t="s">
        <v>453</v>
      </c>
      <c r="BF44" s="40" t="s">
        <v>500</v>
      </c>
      <c r="BG44" s="41" t="str">
        <f t="shared" si="8"/>
        <v>(CA) - SACRAMENTO</v>
      </c>
      <c r="BH44" s="77">
        <v>488750</v>
      </c>
      <c r="BK44" s="37" t="s">
        <v>453</v>
      </c>
      <c r="BL44" s="38" t="s">
        <v>500</v>
      </c>
      <c r="BM44" s="43" t="str">
        <f t="shared" si="15"/>
        <v>(CA) - SACRAMENTO</v>
      </c>
      <c r="BN44" s="76">
        <v>517500</v>
      </c>
      <c r="BQ44" s="38" t="s">
        <v>505</v>
      </c>
      <c r="BR44" s="37" t="s">
        <v>453</v>
      </c>
      <c r="BS44" s="78" t="str">
        <f t="shared" si="9"/>
        <v>(CA) - SAN BENITO</v>
      </c>
      <c r="BT44" s="79">
        <v>726525</v>
      </c>
      <c r="BW44" s="38" t="s">
        <v>490</v>
      </c>
      <c r="BX44" s="37" t="s">
        <v>453</v>
      </c>
      <c r="BY44" s="78" t="str">
        <f t="shared" si="10"/>
        <v xml:space="preserve">(CA) - SAN DIEGO </v>
      </c>
      <c r="BZ44" s="80">
        <v>701500</v>
      </c>
      <c r="CC44" s="43" t="s">
        <v>456</v>
      </c>
      <c r="CD44" s="43" t="s">
        <v>515</v>
      </c>
      <c r="CE44" s="37" t="s">
        <v>453</v>
      </c>
      <c r="CF44" s="81" t="str">
        <f t="shared" si="16"/>
        <v>(CA) - SAN FRANCISCO COUNTY</v>
      </c>
      <c r="CG44" s="59">
        <v>822375</v>
      </c>
      <c r="CH44" s="59"/>
      <c r="CI44" s="266" t="s">
        <v>515</v>
      </c>
      <c r="CJ44" s="267" t="s">
        <v>453</v>
      </c>
      <c r="CK44" s="268">
        <v>970800</v>
      </c>
      <c r="CM44" s="43" t="str">
        <f t="shared" si="18"/>
        <v>(CA) - SAN FRANCISCO COUNTY</v>
      </c>
      <c r="CN44" s="269">
        <f t="shared" si="17"/>
        <v>970800</v>
      </c>
      <c r="CO44" s="269"/>
      <c r="CQ44" s="263" t="s">
        <v>515</v>
      </c>
      <c r="CR44" s="264" t="s">
        <v>453</v>
      </c>
      <c r="CS44" s="265">
        <v>1089300</v>
      </c>
      <c r="CV44" s="43" t="str">
        <f t="shared" si="11"/>
        <v>(CA) - SAN DIEGO COUNTY</v>
      </c>
      <c r="CW44" s="70">
        <f t="shared" si="12"/>
        <v>977500</v>
      </c>
    </row>
    <row r="45" spans="6:101" ht="15.75" thickBot="1" x14ac:dyDescent="0.3">
      <c r="F45" s="43" t="s">
        <v>516</v>
      </c>
      <c r="G45" s="58">
        <v>962500</v>
      </c>
      <c r="H45" s="58"/>
      <c r="I45" s="43" t="s">
        <v>450</v>
      </c>
      <c r="J45" s="68" t="s">
        <v>504</v>
      </c>
      <c r="K45" s="68" t="str">
        <f t="shared" si="2"/>
        <v xml:space="preserve">(CA ) - SAN MATEO </v>
      </c>
      <c r="L45" s="69">
        <v>1000000</v>
      </c>
      <c r="M45" s="68" t="s">
        <v>452</v>
      </c>
      <c r="N45" s="58"/>
      <c r="R45" s="43" t="s">
        <v>453</v>
      </c>
      <c r="S45" s="43" t="s">
        <v>517</v>
      </c>
      <c r="T45" s="68" t="str">
        <f t="shared" si="3"/>
        <v xml:space="preserve">(CA) - SANTA CRUZ </v>
      </c>
      <c r="U45" s="70">
        <v>610650</v>
      </c>
      <c r="Y45" s="43" t="s">
        <v>453</v>
      </c>
      <c r="Z45" s="43" t="s">
        <v>513</v>
      </c>
      <c r="AA45" s="68" t="str">
        <f t="shared" si="4"/>
        <v xml:space="preserve">(CA) - SANTA CLARA </v>
      </c>
      <c r="AB45" s="59">
        <v>831250</v>
      </c>
      <c r="AF45" s="68" t="s">
        <v>453</v>
      </c>
      <c r="AG45" s="68" t="s">
        <v>509</v>
      </c>
      <c r="AH45" s="68" t="str">
        <f t="shared" si="5"/>
        <v xml:space="preserve">(CA) - SANTA BARBARA </v>
      </c>
      <c r="AI45" s="71">
        <v>593750</v>
      </c>
      <c r="AK45" s="72" t="s">
        <v>453</v>
      </c>
      <c r="AL45" s="73" t="s">
        <v>518</v>
      </c>
      <c r="AM45" s="74" t="str">
        <f t="shared" si="6"/>
        <v>(CA) - SAN LUIS OBISPO</v>
      </c>
      <c r="AN45" s="75">
        <v>518750</v>
      </c>
      <c r="AP45" s="72" t="s">
        <v>453</v>
      </c>
      <c r="AQ45" s="73" t="s">
        <v>505</v>
      </c>
      <c r="AR45" s="74" t="str">
        <f t="shared" si="7"/>
        <v>(CA) - SAN BENITO</v>
      </c>
      <c r="AS45" s="75">
        <v>827500</v>
      </c>
      <c r="AU45" s="35" t="s">
        <v>453</v>
      </c>
      <c r="AV45" s="36" t="s">
        <v>505</v>
      </c>
      <c r="AW45" s="74" t="str">
        <f t="shared" si="13"/>
        <v>(CA) - SAN BENITO</v>
      </c>
      <c r="AX45" s="76">
        <v>625500</v>
      </c>
      <c r="AZ45" s="37" t="s">
        <v>453</v>
      </c>
      <c r="BA45" s="38" t="s">
        <v>505</v>
      </c>
      <c r="BB45" s="74" t="str">
        <f t="shared" si="14"/>
        <v>(CA) - SAN BENITO</v>
      </c>
      <c r="BC45" s="76">
        <v>625500</v>
      </c>
      <c r="BE45" s="39" t="s">
        <v>453</v>
      </c>
      <c r="BF45" s="40" t="s">
        <v>505</v>
      </c>
      <c r="BG45" s="41" t="str">
        <f t="shared" si="8"/>
        <v>(CA) - SAN BENITO</v>
      </c>
      <c r="BH45" s="77">
        <v>636150</v>
      </c>
      <c r="BK45" s="37" t="s">
        <v>453</v>
      </c>
      <c r="BL45" s="38" t="s">
        <v>505</v>
      </c>
      <c r="BM45" s="43" t="str">
        <f t="shared" si="15"/>
        <v>(CA) - SAN BENITO</v>
      </c>
      <c r="BN45" s="76">
        <v>679650</v>
      </c>
      <c r="BQ45" s="38" t="s">
        <v>510</v>
      </c>
      <c r="BR45" s="37" t="s">
        <v>453</v>
      </c>
      <c r="BS45" s="78" t="str">
        <f t="shared" si="9"/>
        <v>(CA) - SAN DIEGO</v>
      </c>
      <c r="BT45" s="79">
        <v>690000</v>
      </c>
      <c r="BW45" s="38" t="s">
        <v>494</v>
      </c>
      <c r="BX45" s="37" t="s">
        <v>453</v>
      </c>
      <c r="BY45" s="78" t="str">
        <f t="shared" si="10"/>
        <v xml:space="preserve">(CA) - SAN FRANCISCO </v>
      </c>
      <c r="BZ45" s="80">
        <v>765600</v>
      </c>
      <c r="CC45" s="43" t="s">
        <v>456</v>
      </c>
      <c r="CD45" s="43" t="s">
        <v>519</v>
      </c>
      <c r="CE45" s="37" t="s">
        <v>453</v>
      </c>
      <c r="CF45" s="81" t="str">
        <f t="shared" si="16"/>
        <v>(CA) - SAN LUIS OBISPO COUNTY</v>
      </c>
      <c r="CG45" s="59">
        <v>701500</v>
      </c>
      <c r="CH45" s="59"/>
      <c r="CI45" s="263" t="s">
        <v>519</v>
      </c>
      <c r="CJ45" s="264" t="s">
        <v>453</v>
      </c>
      <c r="CK45" s="265">
        <v>805000</v>
      </c>
      <c r="CM45" s="43" t="str">
        <f t="shared" si="18"/>
        <v>(CA) - SAN LUIS OBISPO COUNTY</v>
      </c>
      <c r="CN45" s="269">
        <f t="shared" si="17"/>
        <v>805000</v>
      </c>
      <c r="CO45" s="269"/>
      <c r="CQ45" s="266" t="s">
        <v>519</v>
      </c>
      <c r="CR45" s="267" t="s">
        <v>453</v>
      </c>
      <c r="CS45" s="268">
        <v>911950</v>
      </c>
      <c r="CV45" s="43" t="str">
        <f t="shared" si="11"/>
        <v>(CA) - SAN FRANCISCO COUNTY</v>
      </c>
      <c r="CW45" s="70">
        <f t="shared" si="12"/>
        <v>1089300</v>
      </c>
    </row>
    <row r="46" spans="6:101" ht="15.75" thickBot="1" x14ac:dyDescent="0.3">
      <c r="F46" s="43" t="s">
        <v>520</v>
      </c>
      <c r="G46" s="58">
        <v>633750</v>
      </c>
      <c r="H46" s="58"/>
      <c r="I46" s="43" t="s">
        <v>450</v>
      </c>
      <c r="J46" s="68" t="s">
        <v>509</v>
      </c>
      <c r="K46" s="68" t="str">
        <f t="shared" si="2"/>
        <v xml:space="preserve">(CA ) - SANTA BARBARA </v>
      </c>
      <c r="L46" s="69">
        <v>710000</v>
      </c>
      <c r="M46" s="68" t="s">
        <v>452</v>
      </c>
      <c r="N46" s="58"/>
      <c r="R46" s="43" t="s">
        <v>453</v>
      </c>
      <c r="S46" s="43" t="s">
        <v>521</v>
      </c>
      <c r="T46" s="68" t="str">
        <f t="shared" si="3"/>
        <v xml:space="preserve">(CA) - SONOMA </v>
      </c>
      <c r="U46" s="70">
        <v>419750</v>
      </c>
      <c r="Y46" s="43" t="s">
        <v>453</v>
      </c>
      <c r="Z46" s="43" t="s">
        <v>517</v>
      </c>
      <c r="AA46" s="68" t="str">
        <f t="shared" si="4"/>
        <v xml:space="preserve">(CA) - SANTA CRUZ </v>
      </c>
      <c r="AB46" s="59">
        <v>663750</v>
      </c>
      <c r="AF46" s="68" t="s">
        <v>453</v>
      </c>
      <c r="AG46" s="68" t="s">
        <v>513</v>
      </c>
      <c r="AH46" s="68" t="str">
        <f t="shared" si="5"/>
        <v xml:space="preserve">(CA) - SANTA CLARA </v>
      </c>
      <c r="AI46" s="71">
        <v>823750</v>
      </c>
      <c r="AK46" s="72" t="s">
        <v>453</v>
      </c>
      <c r="AL46" s="73" t="s">
        <v>522</v>
      </c>
      <c r="AM46" s="74" t="str">
        <f t="shared" si="6"/>
        <v>(CA) - SAN MATEO</v>
      </c>
      <c r="AN46" s="75">
        <v>1050000</v>
      </c>
      <c r="AP46" s="72" t="s">
        <v>453</v>
      </c>
      <c r="AQ46" s="73" t="s">
        <v>510</v>
      </c>
      <c r="AR46" s="74" t="str">
        <f t="shared" si="7"/>
        <v>(CA) - SAN DIEGO</v>
      </c>
      <c r="AS46" s="75">
        <v>546250</v>
      </c>
      <c r="AU46" s="35" t="s">
        <v>453</v>
      </c>
      <c r="AV46" s="36" t="s">
        <v>510</v>
      </c>
      <c r="AW46" s="74" t="str">
        <f t="shared" si="13"/>
        <v>(CA) - SAN DIEGO</v>
      </c>
      <c r="AX46" s="76">
        <v>562350</v>
      </c>
      <c r="AZ46" s="37" t="s">
        <v>453</v>
      </c>
      <c r="BA46" s="38" t="s">
        <v>510</v>
      </c>
      <c r="BB46" s="74" t="str">
        <f t="shared" si="14"/>
        <v>(CA) - SAN DIEGO</v>
      </c>
      <c r="BC46" s="76">
        <v>580750</v>
      </c>
      <c r="BE46" s="39" t="s">
        <v>453</v>
      </c>
      <c r="BF46" s="40" t="s">
        <v>510</v>
      </c>
      <c r="BG46" s="41" t="str">
        <f t="shared" si="8"/>
        <v>(CA) - SAN DIEGO</v>
      </c>
      <c r="BH46" s="77">
        <v>612950</v>
      </c>
      <c r="BK46" s="37" t="s">
        <v>453</v>
      </c>
      <c r="BL46" s="38" t="s">
        <v>510</v>
      </c>
      <c r="BM46" s="43" t="str">
        <f t="shared" si="15"/>
        <v>(CA) - SAN DIEGO</v>
      </c>
      <c r="BN46" s="76">
        <v>649750</v>
      </c>
      <c r="BQ46" s="38" t="s">
        <v>514</v>
      </c>
      <c r="BR46" s="37" t="s">
        <v>453</v>
      </c>
      <c r="BS46" s="78" t="str">
        <f t="shared" si="9"/>
        <v>(CA) - SAN FRANCISCO</v>
      </c>
      <c r="BT46" s="79">
        <v>726525</v>
      </c>
      <c r="BW46" s="38" t="s">
        <v>499</v>
      </c>
      <c r="BX46" s="37" t="s">
        <v>453</v>
      </c>
      <c r="BY46" s="78" t="str">
        <f t="shared" si="10"/>
        <v xml:space="preserve">(CA) - SAN LUIS OBISPO </v>
      </c>
      <c r="BZ46" s="80">
        <v>690000</v>
      </c>
      <c r="CC46" s="43" t="s">
        <v>456</v>
      </c>
      <c r="CD46" s="43" t="s">
        <v>523</v>
      </c>
      <c r="CE46" s="37" t="s">
        <v>453</v>
      </c>
      <c r="CF46" s="81" t="str">
        <f t="shared" si="16"/>
        <v>(CA) - SAN MATEO COUNTY</v>
      </c>
      <c r="CG46" s="59">
        <v>822375</v>
      </c>
      <c r="CH46" s="59"/>
      <c r="CI46" s="266" t="s">
        <v>523</v>
      </c>
      <c r="CJ46" s="267" t="s">
        <v>453</v>
      </c>
      <c r="CK46" s="268">
        <v>970800</v>
      </c>
      <c r="CM46" s="43" t="str">
        <f t="shared" si="18"/>
        <v>(CA) - SAN MATEO COUNTY</v>
      </c>
      <c r="CN46" s="269">
        <f t="shared" si="17"/>
        <v>970800</v>
      </c>
      <c r="CO46" s="269"/>
      <c r="CQ46" s="263" t="s">
        <v>523</v>
      </c>
      <c r="CR46" s="264" t="s">
        <v>453</v>
      </c>
      <c r="CS46" s="265">
        <v>1089300</v>
      </c>
      <c r="CV46" s="43" t="str">
        <f t="shared" si="11"/>
        <v>(CA) - SAN LUIS OBISPO COUNTY</v>
      </c>
      <c r="CW46" s="70">
        <f t="shared" si="12"/>
        <v>911950</v>
      </c>
    </row>
    <row r="47" spans="6:101" ht="15.75" thickBot="1" x14ac:dyDescent="0.3">
      <c r="F47" s="43" t="s">
        <v>524</v>
      </c>
      <c r="G47" s="58">
        <v>568750</v>
      </c>
      <c r="H47" s="58"/>
      <c r="I47" s="43" t="s">
        <v>450</v>
      </c>
      <c r="J47" s="68" t="s">
        <v>513</v>
      </c>
      <c r="K47" s="68" t="str">
        <f t="shared" si="2"/>
        <v xml:space="preserve">(CA ) - SANTA CLARA </v>
      </c>
      <c r="L47" s="69">
        <v>843750</v>
      </c>
      <c r="M47" s="68" t="s">
        <v>452</v>
      </c>
      <c r="N47" s="58"/>
      <c r="R47" s="43" t="s">
        <v>453</v>
      </c>
      <c r="S47" s="43" t="s">
        <v>525</v>
      </c>
      <c r="T47" s="68" t="str">
        <f t="shared" si="3"/>
        <v xml:space="preserve">(CA) - VENTURA </v>
      </c>
      <c r="U47" s="70">
        <v>518650</v>
      </c>
      <c r="Y47" s="43" t="s">
        <v>453</v>
      </c>
      <c r="Z47" s="43" t="s">
        <v>521</v>
      </c>
      <c r="AA47" s="68" t="str">
        <f t="shared" si="4"/>
        <v xml:space="preserve">(CA) - SONOMA </v>
      </c>
      <c r="AB47" s="59">
        <v>456250</v>
      </c>
      <c r="AF47" s="68" t="s">
        <v>453</v>
      </c>
      <c r="AG47" s="68" t="s">
        <v>517</v>
      </c>
      <c r="AH47" s="68" t="str">
        <f t="shared" si="5"/>
        <v xml:space="preserve">(CA) - SANTA CRUZ </v>
      </c>
      <c r="AI47" s="71">
        <v>668750</v>
      </c>
      <c r="AK47" s="72" t="s">
        <v>453</v>
      </c>
      <c r="AL47" s="73" t="s">
        <v>526</v>
      </c>
      <c r="AM47" s="74" t="str">
        <f t="shared" si="6"/>
        <v>(CA) - SANTA BARBARA</v>
      </c>
      <c r="AN47" s="75">
        <v>643750</v>
      </c>
      <c r="AP47" s="72" t="s">
        <v>453</v>
      </c>
      <c r="AQ47" s="73" t="s">
        <v>514</v>
      </c>
      <c r="AR47" s="74" t="str">
        <f t="shared" si="7"/>
        <v>(CA) - SAN FRANCISCO</v>
      </c>
      <c r="AS47" s="75">
        <v>1050000</v>
      </c>
      <c r="AU47" s="35" t="s">
        <v>453</v>
      </c>
      <c r="AV47" s="36" t="s">
        <v>514</v>
      </c>
      <c r="AW47" s="74" t="str">
        <f t="shared" si="13"/>
        <v>(CA) - SAN FRANCISCO</v>
      </c>
      <c r="AX47" s="76">
        <v>625500</v>
      </c>
      <c r="AZ47" s="37" t="s">
        <v>453</v>
      </c>
      <c r="BA47" s="38" t="s">
        <v>514</v>
      </c>
      <c r="BB47" s="74" t="str">
        <f t="shared" si="14"/>
        <v>(CA) - SAN FRANCISCO</v>
      </c>
      <c r="BC47" s="76">
        <v>625500</v>
      </c>
      <c r="BE47" s="39" t="s">
        <v>453</v>
      </c>
      <c r="BF47" s="40" t="s">
        <v>514</v>
      </c>
      <c r="BG47" s="41" t="str">
        <f t="shared" si="8"/>
        <v>(CA) - SAN FRANCISCO</v>
      </c>
      <c r="BH47" s="77">
        <v>636150</v>
      </c>
      <c r="BK47" s="37" t="s">
        <v>453</v>
      </c>
      <c r="BL47" s="38" t="s">
        <v>514</v>
      </c>
      <c r="BM47" s="43" t="str">
        <f t="shared" si="15"/>
        <v>(CA) - SAN FRANCISCO</v>
      </c>
      <c r="BN47" s="76">
        <v>679650</v>
      </c>
      <c r="BQ47" s="38" t="s">
        <v>518</v>
      </c>
      <c r="BR47" s="37" t="s">
        <v>453</v>
      </c>
      <c r="BS47" s="78" t="str">
        <f t="shared" si="9"/>
        <v>(CA) - SAN LUIS OBISPO</v>
      </c>
      <c r="BT47" s="79">
        <v>667000</v>
      </c>
      <c r="BW47" s="38" t="s">
        <v>504</v>
      </c>
      <c r="BX47" s="37" t="s">
        <v>453</v>
      </c>
      <c r="BY47" s="78" t="str">
        <f t="shared" si="10"/>
        <v xml:space="preserve">(CA) - SAN MATEO </v>
      </c>
      <c r="BZ47" s="80">
        <v>765600</v>
      </c>
      <c r="CC47" s="43" t="s">
        <v>456</v>
      </c>
      <c r="CD47" s="43" t="s">
        <v>527</v>
      </c>
      <c r="CE47" s="37" t="s">
        <v>453</v>
      </c>
      <c r="CF47" s="81" t="str">
        <f t="shared" si="16"/>
        <v>(CA) - SANTA BARBARA COUNTY</v>
      </c>
      <c r="CG47" s="59">
        <v>660100</v>
      </c>
      <c r="CH47" s="59"/>
      <c r="CI47" s="263" t="s">
        <v>527</v>
      </c>
      <c r="CJ47" s="264" t="s">
        <v>453</v>
      </c>
      <c r="CK47" s="265">
        <v>783150</v>
      </c>
      <c r="CM47" s="43" t="str">
        <f t="shared" si="18"/>
        <v>(CA) - SANTA BARBARA COUNTY</v>
      </c>
      <c r="CN47" s="269">
        <f t="shared" si="17"/>
        <v>783150</v>
      </c>
      <c r="CO47" s="269"/>
      <c r="CQ47" s="266" t="s">
        <v>527</v>
      </c>
      <c r="CR47" s="267" t="s">
        <v>453</v>
      </c>
      <c r="CS47" s="268">
        <v>805000</v>
      </c>
      <c r="CV47" s="43" t="str">
        <f t="shared" si="11"/>
        <v>(CA) - SAN MATEO COUNTY</v>
      </c>
      <c r="CW47" s="70">
        <f t="shared" si="12"/>
        <v>1089300</v>
      </c>
    </row>
    <row r="48" spans="6:101" ht="15.75" thickBot="1" x14ac:dyDescent="0.3">
      <c r="F48" s="43" t="s">
        <v>528</v>
      </c>
      <c r="G48" s="58">
        <v>486250</v>
      </c>
      <c r="H48" s="58"/>
      <c r="I48" s="43" t="s">
        <v>450</v>
      </c>
      <c r="J48" s="68" t="s">
        <v>517</v>
      </c>
      <c r="K48" s="68" t="str">
        <f t="shared" si="2"/>
        <v xml:space="preserve">(CA ) - SANTA CRUZ </v>
      </c>
      <c r="L48" s="69">
        <v>706250</v>
      </c>
      <c r="M48" s="68" t="s">
        <v>452</v>
      </c>
      <c r="N48" s="58"/>
      <c r="R48" s="43" t="s">
        <v>529</v>
      </c>
      <c r="S48" s="43" t="s">
        <v>530</v>
      </c>
      <c r="T48" s="68" t="str">
        <f t="shared" si="3"/>
        <v xml:space="preserve">(CO) - EAGLE </v>
      </c>
      <c r="U48" s="70">
        <v>625500</v>
      </c>
      <c r="Y48" s="43" t="s">
        <v>453</v>
      </c>
      <c r="Z48" s="43" t="s">
        <v>525</v>
      </c>
      <c r="AA48" s="68" t="str">
        <f t="shared" si="4"/>
        <v xml:space="preserve">(CA) - VENTURA </v>
      </c>
      <c r="AB48" s="59">
        <v>563750</v>
      </c>
      <c r="AF48" s="68" t="s">
        <v>453</v>
      </c>
      <c r="AG48" s="68" t="s">
        <v>521</v>
      </c>
      <c r="AH48" s="68" t="str">
        <f t="shared" si="5"/>
        <v xml:space="preserve">(CA) - SONOMA </v>
      </c>
      <c r="AI48" s="71">
        <v>448750</v>
      </c>
      <c r="AK48" s="72" t="s">
        <v>453</v>
      </c>
      <c r="AL48" s="73" t="s">
        <v>531</v>
      </c>
      <c r="AM48" s="74" t="str">
        <f t="shared" si="6"/>
        <v>(CA) - SANTA CLARA</v>
      </c>
      <c r="AN48" s="75">
        <v>827500</v>
      </c>
      <c r="AP48" s="72" t="s">
        <v>453</v>
      </c>
      <c r="AQ48" s="73" t="s">
        <v>518</v>
      </c>
      <c r="AR48" s="74" t="str">
        <f t="shared" si="7"/>
        <v>(CA) - SAN LUIS OBISPO</v>
      </c>
      <c r="AS48" s="75">
        <v>561200</v>
      </c>
      <c r="AU48" s="35" t="s">
        <v>453</v>
      </c>
      <c r="AV48" s="36" t="s">
        <v>518</v>
      </c>
      <c r="AW48" s="74" t="str">
        <f t="shared" si="13"/>
        <v>(CA) - SAN LUIS OBISPO</v>
      </c>
      <c r="AX48" s="76">
        <v>561200</v>
      </c>
      <c r="AZ48" s="37" t="s">
        <v>453</v>
      </c>
      <c r="BA48" s="38" t="s">
        <v>518</v>
      </c>
      <c r="BB48" s="74" t="str">
        <f t="shared" si="14"/>
        <v>(CA) - SAN LUIS OBISPO</v>
      </c>
      <c r="BC48" s="76">
        <v>561200</v>
      </c>
      <c r="BE48" s="39" t="s">
        <v>453</v>
      </c>
      <c r="BF48" s="40" t="s">
        <v>518</v>
      </c>
      <c r="BG48" s="41" t="str">
        <f t="shared" si="8"/>
        <v>(CA) - SAN LUIS OBISPO</v>
      </c>
      <c r="BH48" s="77">
        <v>586500</v>
      </c>
      <c r="BK48" s="37" t="s">
        <v>453</v>
      </c>
      <c r="BL48" s="38" t="s">
        <v>518</v>
      </c>
      <c r="BM48" s="43" t="str">
        <f t="shared" si="15"/>
        <v>(CA) - SAN LUIS OBISPO</v>
      </c>
      <c r="BN48" s="76">
        <v>615250</v>
      </c>
      <c r="BQ48" s="38" t="s">
        <v>522</v>
      </c>
      <c r="BR48" s="37" t="s">
        <v>453</v>
      </c>
      <c r="BS48" s="78" t="str">
        <f t="shared" si="9"/>
        <v>(CA) - SAN MATEO</v>
      </c>
      <c r="BT48" s="79">
        <v>726525</v>
      </c>
      <c r="BW48" s="38" t="s">
        <v>509</v>
      </c>
      <c r="BX48" s="37" t="s">
        <v>453</v>
      </c>
      <c r="BY48" s="78" t="str">
        <f t="shared" si="10"/>
        <v xml:space="preserve">(CA) - SANTA BARBARA </v>
      </c>
      <c r="BZ48" s="80">
        <v>625500</v>
      </c>
      <c r="CC48" s="43" t="s">
        <v>456</v>
      </c>
      <c r="CD48" s="43" t="s">
        <v>532</v>
      </c>
      <c r="CE48" s="37" t="s">
        <v>453</v>
      </c>
      <c r="CF48" s="81" t="str">
        <f t="shared" si="16"/>
        <v>(CA) - SANTA CLARA COUNTY</v>
      </c>
      <c r="CG48" s="59">
        <v>822375</v>
      </c>
      <c r="CH48" s="59"/>
      <c r="CI48" s="266" t="s">
        <v>532</v>
      </c>
      <c r="CJ48" s="267" t="s">
        <v>453</v>
      </c>
      <c r="CK48" s="268">
        <v>970800</v>
      </c>
      <c r="CM48" s="43" t="str">
        <f t="shared" si="18"/>
        <v>(CA) - SANTA CLARA COUNTY</v>
      </c>
      <c r="CN48" s="269">
        <f t="shared" si="17"/>
        <v>970800</v>
      </c>
      <c r="CO48" s="269"/>
      <c r="CQ48" s="263" t="s">
        <v>532</v>
      </c>
      <c r="CR48" s="264" t="s">
        <v>453</v>
      </c>
      <c r="CS48" s="265">
        <v>1089300</v>
      </c>
      <c r="CV48" s="43" t="str">
        <f t="shared" si="11"/>
        <v>(CA) - SANTA BARBARA COUNTY</v>
      </c>
      <c r="CW48" s="70">
        <f t="shared" si="12"/>
        <v>805000</v>
      </c>
    </row>
    <row r="49" spans="6:101" ht="15.75" thickBot="1" x14ac:dyDescent="0.3">
      <c r="F49" s="43" t="s">
        <v>533</v>
      </c>
      <c r="G49" s="58">
        <v>418750</v>
      </c>
      <c r="H49" s="58"/>
      <c r="I49" s="43" t="s">
        <v>450</v>
      </c>
      <c r="J49" s="68" t="s">
        <v>521</v>
      </c>
      <c r="K49" s="68" t="str">
        <f t="shared" si="2"/>
        <v xml:space="preserve">(CA ) - SONOMA </v>
      </c>
      <c r="L49" s="69">
        <v>478750</v>
      </c>
      <c r="M49" s="68" t="s">
        <v>452</v>
      </c>
      <c r="N49" s="58"/>
      <c r="R49" s="43" t="s">
        <v>529</v>
      </c>
      <c r="S49" s="43" t="s">
        <v>534</v>
      </c>
      <c r="T49" s="68" t="str">
        <f t="shared" si="3"/>
        <v xml:space="preserve">(CO) - LAKE </v>
      </c>
      <c r="U49" s="70">
        <v>625500</v>
      </c>
      <c r="Y49" s="43" t="s">
        <v>529</v>
      </c>
      <c r="Z49" s="43" t="s">
        <v>535</v>
      </c>
      <c r="AA49" s="68" t="str">
        <f t="shared" si="4"/>
        <v xml:space="preserve">(CO) - BOULDER </v>
      </c>
      <c r="AB49" s="59">
        <v>440000</v>
      </c>
      <c r="AF49" s="68" t="s">
        <v>453</v>
      </c>
      <c r="AG49" s="68" t="s">
        <v>525</v>
      </c>
      <c r="AH49" s="68" t="str">
        <f t="shared" si="5"/>
        <v xml:space="preserve">(CA) - VENTURA </v>
      </c>
      <c r="AI49" s="71">
        <v>546250</v>
      </c>
      <c r="AK49" s="72" t="s">
        <v>453</v>
      </c>
      <c r="AL49" s="73" t="s">
        <v>536</v>
      </c>
      <c r="AM49" s="74" t="str">
        <f t="shared" si="6"/>
        <v>(CA) - SANTA CRUZ</v>
      </c>
      <c r="AN49" s="75">
        <v>681250</v>
      </c>
      <c r="AP49" s="72" t="s">
        <v>453</v>
      </c>
      <c r="AQ49" s="73" t="s">
        <v>522</v>
      </c>
      <c r="AR49" s="74" t="str">
        <f t="shared" si="7"/>
        <v>(CA) - SAN MATEO</v>
      </c>
      <c r="AS49" s="75">
        <v>1050000</v>
      </c>
      <c r="AU49" s="35" t="s">
        <v>453</v>
      </c>
      <c r="AV49" s="36" t="s">
        <v>522</v>
      </c>
      <c r="AW49" s="74" t="str">
        <f t="shared" si="13"/>
        <v>(CA) - SAN MATEO</v>
      </c>
      <c r="AX49" s="76">
        <v>625500</v>
      </c>
      <c r="AZ49" s="37" t="s">
        <v>453</v>
      </c>
      <c r="BA49" s="38" t="s">
        <v>522</v>
      </c>
      <c r="BB49" s="74" t="str">
        <f t="shared" si="14"/>
        <v>(CA) - SAN MATEO</v>
      </c>
      <c r="BC49" s="76">
        <v>625500</v>
      </c>
      <c r="BE49" s="39" t="s">
        <v>453</v>
      </c>
      <c r="BF49" s="40" t="s">
        <v>522</v>
      </c>
      <c r="BG49" s="41" t="str">
        <f t="shared" si="8"/>
        <v>(CA) - SAN MATEO</v>
      </c>
      <c r="BH49" s="77">
        <v>636150</v>
      </c>
      <c r="BK49" s="37" t="s">
        <v>453</v>
      </c>
      <c r="BL49" s="38" t="s">
        <v>522</v>
      </c>
      <c r="BM49" s="43" t="str">
        <f t="shared" si="15"/>
        <v>(CA) - SAN MATEO</v>
      </c>
      <c r="BN49" s="76">
        <v>679650</v>
      </c>
      <c r="BQ49" s="38" t="s">
        <v>526</v>
      </c>
      <c r="BR49" s="37" t="s">
        <v>453</v>
      </c>
      <c r="BS49" s="78" t="str">
        <f t="shared" si="9"/>
        <v>(CA) - SANTA BARBARA</v>
      </c>
      <c r="BT49" s="79">
        <v>625500</v>
      </c>
      <c r="BW49" s="38" t="s">
        <v>513</v>
      </c>
      <c r="BX49" s="37" t="s">
        <v>453</v>
      </c>
      <c r="BY49" s="78" t="str">
        <f t="shared" si="10"/>
        <v xml:space="preserve">(CA) - SANTA CLARA </v>
      </c>
      <c r="BZ49" s="80">
        <v>765600</v>
      </c>
      <c r="CC49" s="43" t="s">
        <v>456</v>
      </c>
      <c r="CD49" s="43" t="s">
        <v>537</v>
      </c>
      <c r="CE49" s="37" t="s">
        <v>453</v>
      </c>
      <c r="CF49" s="81" t="str">
        <f t="shared" si="16"/>
        <v>(CA) - SANTA CRUZ COUNTY</v>
      </c>
      <c r="CG49" s="59">
        <v>822375</v>
      </c>
      <c r="CH49" s="59"/>
      <c r="CI49" s="263" t="s">
        <v>537</v>
      </c>
      <c r="CJ49" s="264" t="s">
        <v>453</v>
      </c>
      <c r="CK49" s="265">
        <v>970800</v>
      </c>
      <c r="CM49" s="43" t="str">
        <f t="shared" si="18"/>
        <v>(CA) - SANTA CRUZ COUNTY</v>
      </c>
      <c r="CN49" s="269">
        <f t="shared" si="17"/>
        <v>970800</v>
      </c>
      <c r="CO49" s="269"/>
      <c r="CQ49" s="266" t="s">
        <v>537</v>
      </c>
      <c r="CR49" s="267" t="s">
        <v>453</v>
      </c>
      <c r="CS49" s="268">
        <v>1089300</v>
      </c>
      <c r="CV49" s="43" t="str">
        <f t="shared" si="11"/>
        <v>(CA) - SANTA CLARA COUNTY</v>
      </c>
      <c r="CW49" s="70">
        <f t="shared" si="12"/>
        <v>1089300</v>
      </c>
    </row>
    <row r="50" spans="6:101" ht="15.75" thickBot="1" x14ac:dyDescent="0.3">
      <c r="F50" s="43" t="s">
        <v>538</v>
      </c>
      <c r="G50" s="58">
        <v>760000</v>
      </c>
      <c r="H50" s="58"/>
      <c r="I50" s="43" t="s">
        <v>450</v>
      </c>
      <c r="J50" s="68" t="s">
        <v>525</v>
      </c>
      <c r="K50" s="68" t="str">
        <f t="shared" si="2"/>
        <v xml:space="preserve">(CA ) - VENTURA </v>
      </c>
      <c r="L50" s="69">
        <v>562500</v>
      </c>
      <c r="M50" s="68" t="s">
        <v>452</v>
      </c>
      <c r="N50" s="58"/>
      <c r="R50" s="43" t="s">
        <v>529</v>
      </c>
      <c r="S50" s="43" t="s">
        <v>539</v>
      </c>
      <c r="T50" s="68" t="str">
        <f t="shared" si="3"/>
        <v xml:space="preserve">(CO) - PITKIN </v>
      </c>
      <c r="U50" s="70">
        <v>625500</v>
      </c>
      <c r="Y50" s="43" t="s">
        <v>529</v>
      </c>
      <c r="Z50" s="43" t="s">
        <v>530</v>
      </c>
      <c r="AA50" s="68" t="str">
        <f t="shared" si="4"/>
        <v xml:space="preserve">(CO) - EAGLE </v>
      </c>
      <c r="AB50" s="59">
        <v>781250</v>
      </c>
      <c r="AF50" s="68" t="s">
        <v>529</v>
      </c>
      <c r="AG50" s="68" t="s">
        <v>535</v>
      </c>
      <c r="AH50" s="68" t="str">
        <f t="shared" si="5"/>
        <v xml:space="preserve">(CO) - BOULDER </v>
      </c>
      <c r="AI50" s="71">
        <v>443750</v>
      </c>
      <c r="AK50" s="72" t="s">
        <v>453</v>
      </c>
      <c r="AL50" s="73" t="s">
        <v>540</v>
      </c>
      <c r="AM50" s="74" t="str">
        <f t="shared" si="6"/>
        <v>(CA) - SONOMA</v>
      </c>
      <c r="AN50" s="75">
        <v>500000</v>
      </c>
      <c r="AP50" s="72" t="s">
        <v>453</v>
      </c>
      <c r="AQ50" s="73" t="s">
        <v>526</v>
      </c>
      <c r="AR50" s="74" t="str">
        <f t="shared" si="7"/>
        <v>(CA) - SANTA BARBARA</v>
      </c>
      <c r="AS50" s="75">
        <v>643750</v>
      </c>
      <c r="AU50" s="35" t="s">
        <v>453</v>
      </c>
      <c r="AV50" s="36" t="s">
        <v>526</v>
      </c>
      <c r="AW50" s="74" t="str">
        <f t="shared" si="13"/>
        <v>(CA) - SANTA BARBARA</v>
      </c>
      <c r="AX50" s="76">
        <v>625500</v>
      </c>
      <c r="AZ50" s="37" t="s">
        <v>453</v>
      </c>
      <c r="BA50" s="38" t="s">
        <v>526</v>
      </c>
      <c r="BB50" s="74" t="str">
        <f t="shared" si="14"/>
        <v>(CA) - SANTA BARBARA</v>
      </c>
      <c r="BC50" s="76">
        <v>625500</v>
      </c>
      <c r="BE50" s="39" t="s">
        <v>453</v>
      </c>
      <c r="BF50" s="40" t="s">
        <v>526</v>
      </c>
      <c r="BG50" s="41" t="str">
        <f t="shared" si="8"/>
        <v>(CA) - SANTA BARBARA</v>
      </c>
      <c r="BH50" s="77">
        <v>625500</v>
      </c>
      <c r="BK50" s="37" t="s">
        <v>453</v>
      </c>
      <c r="BL50" s="38" t="s">
        <v>526</v>
      </c>
      <c r="BM50" s="43" t="str">
        <f t="shared" si="15"/>
        <v>(CA) - SANTA BARBARA</v>
      </c>
      <c r="BN50" s="76">
        <v>625500</v>
      </c>
      <c r="BQ50" s="38" t="s">
        <v>531</v>
      </c>
      <c r="BR50" s="37" t="s">
        <v>453</v>
      </c>
      <c r="BS50" s="78" t="str">
        <f t="shared" si="9"/>
        <v>(CA) - SANTA CLARA</v>
      </c>
      <c r="BT50" s="79">
        <v>726525</v>
      </c>
      <c r="BW50" s="38" t="s">
        <v>517</v>
      </c>
      <c r="BX50" s="37" t="s">
        <v>453</v>
      </c>
      <c r="BY50" s="78" t="str">
        <f t="shared" si="10"/>
        <v xml:space="preserve">(CA) - SANTA CRUZ </v>
      </c>
      <c r="BZ50" s="80">
        <v>765600</v>
      </c>
      <c r="CC50" s="43" t="s">
        <v>456</v>
      </c>
      <c r="CD50" s="43" t="s">
        <v>541</v>
      </c>
      <c r="CE50" s="37" t="s">
        <v>453</v>
      </c>
      <c r="CF50" s="81" t="str">
        <f t="shared" si="16"/>
        <v>(CA) - SOLANO COUNTY</v>
      </c>
      <c r="CG50" s="59">
        <v>550850</v>
      </c>
      <c r="CH50" s="59"/>
      <c r="CI50" s="266" t="s">
        <v>542</v>
      </c>
      <c r="CJ50" s="267" t="s">
        <v>453</v>
      </c>
      <c r="CK50" s="268">
        <v>764750</v>
      </c>
      <c r="CM50" s="43" t="str">
        <f t="shared" si="18"/>
        <v>(CA) - SONOMA COUNTY</v>
      </c>
      <c r="CN50" s="269">
        <f t="shared" si="17"/>
        <v>764750</v>
      </c>
      <c r="CO50" s="269"/>
      <c r="CQ50" s="263" t="s">
        <v>542</v>
      </c>
      <c r="CR50" s="264" t="s">
        <v>453</v>
      </c>
      <c r="CS50" s="265">
        <v>861350</v>
      </c>
      <c r="CV50" s="43" t="str">
        <f t="shared" si="11"/>
        <v>(CA) - SANTA CRUZ COUNTY</v>
      </c>
      <c r="CW50" s="70">
        <f t="shared" si="12"/>
        <v>1089300</v>
      </c>
    </row>
    <row r="51" spans="6:101" ht="15.75" thickBot="1" x14ac:dyDescent="0.3">
      <c r="F51" s="43" t="s">
        <v>543</v>
      </c>
      <c r="G51" s="58">
        <v>465000</v>
      </c>
      <c r="H51" s="58"/>
      <c r="I51" s="43" t="s">
        <v>544</v>
      </c>
      <c r="J51" s="68" t="s">
        <v>535</v>
      </c>
      <c r="K51" s="68" t="str">
        <f t="shared" si="2"/>
        <v xml:space="preserve">(CO ) - BOULDER </v>
      </c>
      <c r="L51" s="69">
        <v>427500</v>
      </c>
      <c r="M51" s="68" t="s">
        <v>300</v>
      </c>
      <c r="N51" s="58"/>
      <c r="R51" s="43" t="s">
        <v>529</v>
      </c>
      <c r="S51" s="43" t="s">
        <v>545</v>
      </c>
      <c r="T51" s="68" t="str">
        <f t="shared" si="3"/>
        <v xml:space="preserve">(CO) - ROUTT </v>
      </c>
      <c r="U51" s="70">
        <v>523250</v>
      </c>
      <c r="Y51" s="43" t="s">
        <v>529</v>
      </c>
      <c r="Z51" s="43" t="s">
        <v>534</v>
      </c>
      <c r="AA51" s="68" t="str">
        <f t="shared" si="4"/>
        <v xml:space="preserve">(CO) - LAKE </v>
      </c>
      <c r="AB51" s="59">
        <v>781250</v>
      </c>
      <c r="AF51" s="68" t="s">
        <v>529</v>
      </c>
      <c r="AG51" s="68" t="s">
        <v>530</v>
      </c>
      <c r="AH51" s="68" t="str">
        <f t="shared" si="5"/>
        <v xml:space="preserve">(CO) - EAGLE </v>
      </c>
      <c r="AI51" s="71">
        <v>712500</v>
      </c>
      <c r="AK51" s="72" t="s">
        <v>453</v>
      </c>
      <c r="AL51" s="73" t="s">
        <v>546</v>
      </c>
      <c r="AM51" s="74" t="str">
        <f t="shared" si="6"/>
        <v>(CA) - VENTURA</v>
      </c>
      <c r="AN51" s="75">
        <v>556250</v>
      </c>
      <c r="AP51" s="72" t="s">
        <v>453</v>
      </c>
      <c r="AQ51" s="73" t="s">
        <v>531</v>
      </c>
      <c r="AR51" s="74" t="str">
        <f t="shared" si="7"/>
        <v>(CA) - SANTA CLARA</v>
      </c>
      <c r="AS51" s="75">
        <v>827500</v>
      </c>
      <c r="AU51" s="35" t="s">
        <v>453</v>
      </c>
      <c r="AV51" s="36" t="s">
        <v>531</v>
      </c>
      <c r="AW51" s="74" t="str">
        <f t="shared" si="13"/>
        <v>(CA) - SANTA CLARA</v>
      </c>
      <c r="AX51" s="76">
        <v>625500</v>
      </c>
      <c r="AZ51" s="37" t="s">
        <v>453</v>
      </c>
      <c r="BA51" s="38" t="s">
        <v>531</v>
      </c>
      <c r="BB51" s="74" t="str">
        <f t="shared" si="14"/>
        <v>(CA) - SANTA CLARA</v>
      </c>
      <c r="BC51" s="76">
        <v>625500</v>
      </c>
      <c r="BE51" s="39" t="s">
        <v>453</v>
      </c>
      <c r="BF51" s="40" t="s">
        <v>531</v>
      </c>
      <c r="BG51" s="41" t="str">
        <f t="shared" si="8"/>
        <v>(CA) - SANTA CLARA</v>
      </c>
      <c r="BH51" s="77">
        <v>636150</v>
      </c>
      <c r="BK51" s="37" t="s">
        <v>453</v>
      </c>
      <c r="BL51" s="38" t="s">
        <v>531</v>
      </c>
      <c r="BM51" s="43" t="str">
        <f t="shared" si="15"/>
        <v>(CA) - SANTA CLARA</v>
      </c>
      <c r="BN51" s="76">
        <v>679650</v>
      </c>
      <c r="BQ51" s="38" t="s">
        <v>536</v>
      </c>
      <c r="BR51" s="37" t="s">
        <v>453</v>
      </c>
      <c r="BS51" s="78" t="str">
        <f t="shared" si="9"/>
        <v>(CA) - SANTA CRUZ</v>
      </c>
      <c r="BT51" s="79">
        <v>726525</v>
      </c>
      <c r="BW51" s="38" t="s">
        <v>521</v>
      </c>
      <c r="BX51" s="37" t="s">
        <v>453</v>
      </c>
      <c r="BY51" s="78" t="str">
        <f t="shared" si="10"/>
        <v xml:space="preserve">(CA) - SONOMA </v>
      </c>
      <c r="BZ51" s="80">
        <v>704950</v>
      </c>
      <c r="CC51" s="43" t="s">
        <v>456</v>
      </c>
      <c r="CD51" s="43" t="s">
        <v>542</v>
      </c>
      <c r="CE51" s="37" t="s">
        <v>453</v>
      </c>
      <c r="CF51" s="81" t="str">
        <f t="shared" si="16"/>
        <v>(CA) - SONOMA COUNTY</v>
      </c>
      <c r="CG51" s="59">
        <v>707250</v>
      </c>
      <c r="CH51" s="59"/>
      <c r="CI51" s="263" t="s">
        <v>547</v>
      </c>
      <c r="CJ51" s="264" t="s">
        <v>453</v>
      </c>
      <c r="CK51" s="265">
        <v>851000</v>
      </c>
      <c r="CM51" s="43" t="str">
        <f t="shared" si="18"/>
        <v>(CA) - VENTURA COUNTY</v>
      </c>
      <c r="CN51" s="269">
        <f t="shared" si="17"/>
        <v>851000</v>
      </c>
      <c r="CO51" s="269"/>
      <c r="CQ51" s="266" t="s">
        <v>547</v>
      </c>
      <c r="CR51" s="267" t="s">
        <v>453</v>
      </c>
      <c r="CS51" s="268">
        <v>948750</v>
      </c>
      <c r="CV51" s="43" t="str">
        <f t="shared" si="11"/>
        <v>(CA) - SONOMA COUNTY</v>
      </c>
      <c r="CW51" s="70">
        <f t="shared" si="12"/>
        <v>861350</v>
      </c>
    </row>
    <row r="52" spans="6:101" ht="15.75" thickBot="1" x14ac:dyDescent="0.3">
      <c r="F52" s="43" t="s">
        <v>548</v>
      </c>
      <c r="G52" s="58">
        <v>760000</v>
      </c>
      <c r="H52" s="58"/>
      <c r="I52" s="43" t="s">
        <v>544</v>
      </c>
      <c r="J52" s="68" t="s">
        <v>530</v>
      </c>
      <c r="K52" s="68" t="str">
        <f t="shared" si="2"/>
        <v xml:space="preserve">(CO ) - EAGLE </v>
      </c>
      <c r="L52" s="69">
        <v>850000</v>
      </c>
      <c r="M52" s="68" t="s">
        <v>300</v>
      </c>
      <c r="N52" s="58"/>
      <c r="R52" s="43" t="s">
        <v>529</v>
      </c>
      <c r="S52" s="43" t="s">
        <v>549</v>
      </c>
      <c r="T52" s="68" t="str">
        <f t="shared" si="3"/>
        <v xml:space="preserve">(CO) - SAN MIGUEL </v>
      </c>
      <c r="U52" s="70">
        <v>625500</v>
      </c>
      <c r="Y52" s="43" t="s">
        <v>529</v>
      </c>
      <c r="Z52" s="43" t="s">
        <v>539</v>
      </c>
      <c r="AA52" s="68" t="str">
        <f t="shared" si="4"/>
        <v xml:space="preserve">(CO) - PITKIN </v>
      </c>
      <c r="AB52" s="59">
        <v>1094625</v>
      </c>
      <c r="AF52" s="68" t="s">
        <v>529</v>
      </c>
      <c r="AG52" s="68" t="s">
        <v>534</v>
      </c>
      <c r="AH52" s="68" t="str">
        <f t="shared" si="5"/>
        <v xml:space="preserve">(CO) - LAKE </v>
      </c>
      <c r="AI52" s="71">
        <v>712500</v>
      </c>
      <c r="AK52" s="85" t="s">
        <v>453</v>
      </c>
      <c r="AL52" s="86" t="s">
        <v>550</v>
      </c>
      <c r="AM52" s="74" t="str">
        <f t="shared" si="6"/>
        <v>(CA) - YOLO</v>
      </c>
      <c r="AN52" s="87">
        <v>437500</v>
      </c>
      <c r="AP52" s="72" t="s">
        <v>453</v>
      </c>
      <c r="AQ52" s="73" t="s">
        <v>536</v>
      </c>
      <c r="AR52" s="74" t="str">
        <f t="shared" si="7"/>
        <v>(CA) - SANTA CRUZ</v>
      </c>
      <c r="AS52" s="75">
        <v>681250</v>
      </c>
      <c r="AU52" s="35" t="s">
        <v>453</v>
      </c>
      <c r="AV52" s="36" t="s">
        <v>536</v>
      </c>
      <c r="AW52" s="74" t="str">
        <f t="shared" si="13"/>
        <v>(CA) - SANTA CRUZ</v>
      </c>
      <c r="AX52" s="76">
        <v>625500</v>
      </c>
      <c r="AZ52" s="37" t="s">
        <v>453</v>
      </c>
      <c r="BA52" s="38" t="s">
        <v>536</v>
      </c>
      <c r="BB52" s="74" t="str">
        <f t="shared" si="14"/>
        <v>(CA) - SANTA CRUZ</v>
      </c>
      <c r="BC52" s="76">
        <v>625500</v>
      </c>
      <c r="BE52" s="39" t="s">
        <v>453</v>
      </c>
      <c r="BF52" s="40" t="s">
        <v>536</v>
      </c>
      <c r="BG52" s="41" t="str">
        <f t="shared" si="8"/>
        <v>(CA) - SANTA CRUZ</v>
      </c>
      <c r="BH52" s="77">
        <v>636150</v>
      </c>
      <c r="BK52" s="37" t="s">
        <v>453</v>
      </c>
      <c r="BL52" s="38" t="s">
        <v>536</v>
      </c>
      <c r="BM52" s="43" t="str">
        <f t="shared" si="15"/>
        <v>(CA) - SANTA CRUZ</v>
      </c>
      <c r="BN52" s="76">
        <v>679650</v>
      </c>
      <c r="BQ52" s="38" t="s">
        <v>551</v>
      </c>
      <c r="BR52" s="37" t="s">
        <v>453</v>
      </c>
      <c r="BS52" s="78" t="str">
        <f t="shared" si="9"/>
        <v>(CA) - SOLANO</v>
      </c>
      <c r="BT52" s="79">
        <v>494500</v>
      </c>
      <c r="BW52" s="38" t="s">
        <v>525</v>
      </c>
      <c r="BX52" s="37" t="s">
        <v>453</v>
      </c>
      <c r="BY52" s="78" t="str">
        <f t="shared" si="10"/>
        <v xml:space="preserve">(CA) - VENTURA </v>
      </c>
      <c r="BZ52" s="80">
        <v>713000</v>
      </c>
      <c r="CC52" s="43" t="s">
        <v>456</v>
      </c>
      <c r="CD52" s="43" t="s">
        <v>547</v>
      </c>
      <c r="CE52" s="37" t="s">
        <v>453</v>
      </c>
      <c r="CF52" s="81" t="str">
        <f t="shared" si="16"/>
        <v>(CA) - VENTURA COUNTY</v>
      </c>
      <c r="CG52" s="59">
        <v>739450</v>
      </c>
      <c r="CH52" s="59"/>
      <c r="CI52" s="266" t="s">
        <v>552</v>
      </c>
      <c r="CJ52" s="267" t="s">
        <v>453</v>
      </c>
      <c r="CK52" s="268">
        <v>675050</v>
      </c>
      <c r="CM52" s="43" t="str">
        <f t="shared" si="18"/>
        <v>(CA) - YOLO COUNTY</v>
      </c>
      <c r="CN52" s="269">
        <f t="shared" si="17"/>
        <v>675050</v>
      </c>
      <c r="CO52" s="269"/>
      <c r="CQ52" s="263" t="s">
        <v>552</v>
      </c>
      <c r="CR52" s="264" t="s">
        <v>453</v>
      </c>
      <c r="CS52" s="265">
        <v>763600</v>
      </c>
      <c r="CV52" s="43" t="str">
        <f t="shared" si="11"/>
        <v>(CA) - VENTURA COUNTY</v>
      </c>
      <c r="CW52" s="70">
        <f t="shared" si="12"/>
        <v>948750</v>
      </c>
    </row>
    <row r="53" spans="6:101" ht="15.75" thickBot="1" x14ac:dyDescent="0.3">
      <c r="F53" s="43" t="s">
        <v>553</v>
      </c>
      <c r="G53" s="58">
        <v>462500</v>
      </c>
      <c r="H53" s="58"/>
      <c r="I53" s="43" t="s">
        <v>544</v>
      </c>
      <c r="J53" s="68" t="s">
        <v>534</v>
      </c>
      <c r="K53" s="68" t="str">
        <f t="shared" si="2"/>
        <v xml:space="preserve">(CO ) - LAKE </v>
      </c>
      <c r="L53" s="69">
        <v>850000</v>
      </c>
      <c r="M53" s="68" t="s">
        <v>300</v>
      </c>
      <c r="N53" s="58"/>
      <c r="R53" s="43" t="s">
        <v>529</v>
      </c>
      <c r="S53" s="43" t="s">
        <v>554</v>
      </c>
      <c r="T53" s="68" t="str">
        <f t="shared" si="3"/>
        <v xml:space="preserve">(CO) - SUMMIT </v>
      </c>
      <c r="U53" s="70">
        <v>621000</v>
      </c>
      <c r="Y53" s="43" t="s">
        <v>529</v>
      </c>
      <c r="Z53" s="43" t="s">
        <v>545</v>
      </c>
      <c r="AA53" s="68" t="str">
        <f t="shared" si="4"/>
        <v xml:space="preserve">(CO) - ROUTT </v>
      </c>
      <c r="AB53" s="59">
        <v>568750</v>
      </c>
      <c r="AF53" s="68" t="s">
        <v>529</v>
      </c>
      <c r="AG53" s="68" t="s">
        <v>539</v>
      </c>
      <c r="AH53" s="68" t="str">
        <f t="shared" si="5"/>
        <v xml:space="preserve">(CO) - PITKIN </v>
      </c>
      <c r="AI53" s="71">
        <v>1094625</v>
      </c>
      <c r="AK53" s="85" t="s">
        <v>529</v>
      </c>
      <c r="AL53" s="86" t="s">
        <v>555</v>
      </c>
      <c r="AM53" s="74" t="str">
        <f t="shared" si="6"/>
        <v>(CO) - ADAMS</v>
      </c>
      <c r="AN53" s="87">
        <v>425000</v>
      </c>
      <c r="AP53" s="72" t="s">
        <v>453</v>
      </c>
      <c r="AQ53" s="73" t="s">
        <v>540</v>
      </c>
      <c r="AR53" s="74" t="str">
        <f t="shared" si="7"/>
        <v>(CA) - SONOMA</v>
      </c>
      <c r="AS53" s="75">
        <v>520950</v>
      </c>
      <c r="AU53" s="35" t="s">
        <v>453</v>
      </c>
      <c r="AV53" s="36" t="s">
        <v>540</v>
      </c>
      <c r="AW53" s="74" t="str">
        <f t="shared" si="13"/>
        <v>(CA) - SONOMA</v>
      </c>
      <c r="AX53" s="76">
        <v>520950</v>
      </c>
      <c r="AZ53" s="37" t="s">
        <v>453</v>
      </c>
      <c r="BA53" s="38" t="s">
        <v>540</v>
      </c>
      <c r="BB53" s="74" t="str">
        <f t="shared" si="14"/>
        <v>(CA) - SONOMA</v>
      </c>
      <c r="BC53" s="76">
        <v>554300</v>
      </c>
      <c r="BE53" s="39" t="s">
        <v>453</v>
      </c>
      <c r="BF53" s="40" t="s">
        <v>551</v>
      </c>
      <c r="BG53" s="41" t="str">
        <f t="shared" si="8"/>
        <v>(CA) - SOLANO</v>
      </c>
      <c r="BH53" s="77">
        <v>431250</v>
      </c>
      <c r="BK53" s="37" t="s">
        <v>453</v>
      </c>
      <c r="BL53" s="38" t="s">
        <v>551</v>
      </c>
      <c r="BM53" s="43" t="str">
        <f t="shared" si="15"/>
        <v>(CA) - SOLANO</v>
      </c>
      <c r="BN53" s="76">
        <v>460000</v>
      </c>
      <c r="BQ53" s="38" t="s">
        <v>540</v>
      </c>
      <c r="BR53" s="37" t="s">
        <v>453</v>
      </c>
      <c r="BS53" s="78" t="str">
        <f t="shared" si="9"/>
        <v>(CA) - SONOMA</v>
      </c>
      <c r="BT53" s="79">
        <v>704950</v>
      </c>
      <c r="BW53" s="38" t="s">
        <v>556</v>
      </c>
      <c r="BX53" s="37" t="s">
        <v>453</v>
      </c>
      <c r="BY53" s="78" t="str">
        <f t="shared" si="10"/>
        <v xml:space="preserve">(CA) - YOLO </v>
      </c>
      <c r="BZ53" s="80">
        <v>569250</v>
      </c>
      <c r="CC53" s="43" t="s">
        <v>456</v>
      </c>
      <c r="CD53" s="43" t="s">
        <v>552</v>
      </c>
      <c r="CE53" s="37" t="s">
        <v>453</v>
      </c>
      <c r="CF53" s="81" t="str">
        <f t="shared" si="16"/>
        <v>(CA) - YOLO COUNTY</v>
      </c>
      <c r="CG53" s="59">
        <v>598000</v>
      </c>
      <c r="CH53" s="59"/>
      <c r="CI53" s="263" t="s">
        <v>557</v>
      </c>
      <c r="CJ53" s="264" t="s">
        <v>529</v>
      </c>
      <c r="CK53" s="265">
        <v>684250</v>
      </c>
      <c r="CM53" s="43" t="str">
        <f t="shared" si="18"/>
        <v>(CO) - ADAMS COUNTY</v>
      </c>
      <c r="CN53" s="269">
        <f t="shared" si="17"/>
        <v>684250</v>
      </c>
      <c r="CO53" s="269"/>
      <c r="CQ53" s="266" t="s">
        <v>557</v>
      </c>
      <c r="CR53" s="267" t="s">
        <v>529</v>
      </c>
      <c r="CS53" s="268">
        <v>787750</v>
      </c>
      <c r="CV53" s="43" t="str">
        <f t="shared" si="11"/>
        <v>(CA) - YOLO COUNTY</v>
      </c>
      <c r="CW53" s="70">
        <f t="shared" si="12"/>
        <v>763600</v>
      </c>
    </row>
    <row r="54" spans="6:101" ht="15.75" thickBot="1" x14ac:dyDescent="0.3">
      <c r="F54" s="43" t="s">
        <v>558</v>
      </c>
      <c r="G54" s="58">
        <v>1094625</v>
      </c>
      <c r="H54" s="58"/>
      <c r="I54" s="43" t="s">
        <v>544</v>
      </c>
      <c r="J54" s="68" t="s">
        <v>539</v>
      </c>
      <c r="K54" s="68" t="str">
        <f t="shared" si="2"/>
        <v xml:space="preserve">(CO ) - PITKIN </v>
      </c>
      <c r="L54" s="69">
        <v>1094625</v>
      </c>
      <c r="M54" s="68" t="s">
        <v>300</v>
      </c>
      <c r="N54" s="58"/>
      <c r="R54" s="43" t="s">
        <v>559</v>
      </c>
      <c r="S54" s="43" t="s">
        <v>560</v>
      </c>
      <c r="T54" s="68" t="str">
        <f t="shared" si="3"/>
        <v xml:space="preserve">(CT) - FAIRFIELD </v>
      </c>
      <c r="U54" s="70">
        <v>601450</v>
      </c>
      <c r="Y54" s="43" t="s">
        <v>529</v>
      </c>
      <c r="Z54" s="43" t="s">
        <v>549</v>
      </c>
      <c r="AA54" s="68" t="str">
        <f t="shared" si="4"/>
        <v xml:space="preserve">(CO) - SAN MIGUEL </v>
      </c>
      <c r="AB54" s="59">
        <v>1000000</v>
      </c>
      <c r="AF54" s="68" t="s">
        <v>529</v>
      </c>
      <c r="AG54" s="68" t="s">
        <v>545</v>
      </c>
      <c r="AH54" s="68" t="str">
        <f t="shared" si="5"/>
        <v xml:space="preserve">(CO) - ROUTT </v>
      </c>
      <c r="AI54" s="71">
        <v>550000</v>
      </c>
      <c r="AK54" s="85" t="s">
        <v>529</v>
      </c>
      <c r="AL54" s="86" t="s">
        <v>561</v>
      </c>
      <c r="AM54" s="74" t="str">
        <f t="shared" si="6"/>
        <v>(CO) - ARAPAHOE</v>
      </c>
      <c r="AN54" s="87">
        <v>425000</v>
      </c>
      <c r="AP54" s="72" t="s">
        <v>453</v>
      </c>
      <c r="AQ54" s="73" t="s">
        <v>546</v>
      </c>
      <c r="AR54" s="74" t="str">
        <f t="shared" si="7"/>
        <v>(CA) - VENTURA</v>
      </c>
      <c r="AS54" s="75">
        <v>598000</v>
      </c>
      <c r="AU54" s="35" t="s">
        <v>453</v>
      </c>
      <c r="AV54" s="36" t="s">
        <v>546</v>
      </c>
      <c r="AW54" s="74" t="str">
        <f t="shared" si="13"/>
        <v>(CA) - VENTURA</v>
      </c>
      <c r="AX54" s="76">
        <v>603750</v>
      </c>
      <c r="AZ54" s="37" t="s">
        <v>453</v>
      </c>
      <c r="BA54" s="38" t="s">
        <v>546</v>
      </c>
      <c r="BB54" s="74" t="str">
        <f t="shared" si="14"/>
        <v>(CA) - VENTURA</v>
      </c>
      <c r="BC54" s="76">
        <v>603750</v>
      </c>
      <c r="BE54" s="39" t="s">
        <v>453</v>
      </c>
      <c r="BF54" s="40" t="s">
        <v>540</v>
      </c>
      <c r="BG54" s="41" t="str">
        <f t="shared" si="8"/>
        <v>(CA) - SONOMA</v>
      </c>
      <c r="BH54" s="77">
        <v>595700</v>
      </c>
      <c r="BK54" s="37" t="s">
        <v>453</v>
      </c>
      <c r="BL54" s="38" t="s">
        <v>540</v>
      </c>
      <c r="BM54" s="43" t="str">
        <f t="shared" si="15"/>
        <v>(CA) - SONOMA</v>
      </c>
      <c r="BN54" s="76">
        <v>648600</v>
      </c>
      <c r="BQ54" s="38" t="s">
        <v>546</v>
      </c>
      <c r="BR54" s="37" t="s">
        <v>453</v>
      </c>
      <c r="BS54" s="78" t="str">
        <f t="shared" si="9"/>
        <v>(CA) - VENTURA</v>
      </c>
      <c r="BT54" s="79">
        <v>713000</v>
      </c>
      <c r="BW54" s="38" t="s">
        <v>562</v>
      </c>
      <c r="BX54" s="37" t="s">
        <v>529</v>
      </c>
      <c r="BY54" s="78" t="str">
        <f t="shared" si="10"/>
        <v xml:space="preserve">(CO) - ADAMS </v>
      </c>
      <c r="BZ54" s="80">
        <v>575000</v>
      </c>
      <c r="CC54" s="43" t="s">
        <v>563</v>
      </c>
      <c r="CD54" s="43" t="s">
        <v>557</v>
      </c>
      <c r="CE54" s="37" t="s">
        <v>529</v>
      </c>
      <c r="CF54" s="81" t="str">
        <f t="shared" si="16"/>
        <v>(CO) - ADAMS COUNTY</v>
      </c>
      <c r="CG54" s="59">
        <v>596850</v>
      </c>
      <c r="CH54" s="59"/>
      <c r="CI54" s="266" t="s">
        <v>564</v>
      </c>
      <c r="CJ54" s="267" t="s">
        <v>529</v>
      </c>
      <c r="CK54" s="268">
        <v>684250</v>
      </c>
      <c r="CM54" s="43" t="str">
        <f t="shared" si="18"/>
        <v>(CO) - ARAPAHOE COUNTY</v>
      </c>
      <c r="CN54" s="269">
        <f t="shared" si="17"/>
        <v>684250</v>
      </c>
      <c r="CO54" s="269"/>
      <c r="CQ54" s="263" t="s">
        <v>564</v>
      </c>
      <c r="CR54" s="264" t="s">
        <v>529</v>
      </c>
      <c r="CS54" s="265">
        <v>787750</v>
      </c>
      <c r="CV54" s="43" t="str">
        <f t="shared" si="11"/>
        <v>(CO) - ADAMS COUNTY</v>
      </c>
      <c r="CW54" s="70">
        <f t="shared" si="12"/>
        <v>787750</v>
      </c>
    </row>
    <row r="55" spans="6:101" ht="15.75" thickBot="1" x14ac:dyDescent="0.3">
      <c r="F55" s="43" t="s">
        <v>565</v>
      </c>
      <c r="G55" s="58">
        <v>563750</v>
      </c>
      <c r="H55" s="58"/>
      <c r="I55" s="43" t="s">
        <v>544</v>
      </c>
      <c r="J55" s="68" t="s">
        <v>545</v>
      </c>
      <c r="K55" s="68" t="str">
        <f t="shared" si="2"/>
        <v xml:space="preserve">(CO ) - ROUTT </v>
      </c>
      <c r="L55" s="69">
        <v>587500</v>
      </c>
      <c r="M55" s="68" t="s">
        <v>300</v>
      </c>
      <c r="N55" s="58"/>
      <c r="R55" s="43" t="s">
        <v>566</v>
      </c>
      <c r="S55" s="43" t="s">
        <v>567</v>
      </c>
      <c r="T55" s="68" t="str">
        <f t="shared" si="3"/>
        <v xml:space="preserve">(DC) - DISTRICT OF COLUMBIA </v>
      </c>
      <c r="U55" s="70">
        <v>625500</v>
      </c>
      <c r="Y55" s="43" t="s">
        <v>529</v>
      </c>
      <c r="Z55" s="43" t="s">
        <v>554</v>
      </c>
      <c r="AA55" s="68" t="str">
        <f t="shared" si="4"/>
        <v xml:space="preserve">(CO) - SUMMIT </v>
      </c>
      <c r="AB55" s="59">
        <v>675000</v>
      </c>
      <c r="AF55" s="68" t="s">
        <v>529</v>
      </c>
      <c r="AG55" s="68" t="s">
        <v>549</v>
      </c>
      <c r="AH55" s="68" t="str">
        <f t="shared" si="5"/>
        <v xml:space="preserve">(CO) - SAN MIGUEL </v>
      </c>
      <c r="AI55" s="71">
        <v>1094625</v>
      </c>
      <c r="AK55" s="72" t="s">
        <v>529</v>
      </c>
      <c r="AL55" s="73" t="s">
        <v>568</v>
      </c>
      <c r="AM55" s="74" t="str">
        <f t="shared" si="6"/>
        <v>(CO) - BOULDER</v>
      </c>
      <c r="AN55" s="75">
        <v>422500</v>
      </c>
      <c r="AP55" s="72" t="s">
        <v>453</v>
      </c>
      <c r="AQ55" s="73" t="s">
        <v>550</v>
      </c>
      <c r="AR55" s="74" t="str">
        <f t="shared" si="7"/>
        <v>(CA) - YOLO</v>
      </c>
      <c r="AS55" s="75">
        <v>474950</v>
      </c>
      <c r="AU55" s="35" t="s">
        <v>453</v>
      </c>
      <c r="AV55" s="36" t="s">
        <v>550</v>
      </c>
      <c r="AW55" s="74" t="str">
        <f t="shared" si="13"/>
        <v>(CA) - YOLO</v>
      </c>
      <c r="AX55" s="76">
        <v>474950</v>
      </c>
      <c r="AZ55" s="37" t="s">
        <v>453</v>
      </c>
      <c r="BA55" s="38" t="s">
        <v>550</v>
      </c>
      <c r="BB55" s="74" t="str">
        <f t="shared" si="14"/>
        <v>(CA) - YOLO</v>
      </c>
      <c r="BC55" s="76">
        <v>474950</v>
      </c>
      <c r="BE55" s="39" t="s">
        <v>453</v>
      </c>
      <c r="BF55" s="40" t="s">
        <v>546</v>
      </c>
      <c r="BG55" s="41" t="str">
        <f t="shared" si="8"/>
        <v>(CA) - VENTURA</v>
      </c>
      <c r="BH55" s="77">
        <v>636150</v>
      </c>
      <c r="BK55" s="37" t="s">
        <v>453</v>
      </c>
      <c r="BL55" s="38" t="s">
        <v>546</v>
      </c>
      <c r="BM55" s="43" t="str">
        <f t="shared" si="15"/>
        <v>(CA) - VENTURA</v>
      </c>
      <c r="BN55" s="76">
        <v>672750</v>
      </c>
      <c r="BQ55" s="38" t="s">
        <v>550</v>
      </c>
      <c r="BR55" s="37" t="s">
        <v>453</v>
      </c>
      <c r="BS55" s="78" t="str">
        <f t="shared" si="9"/>
        <v>(CA) - YOLO</v>
      </c>
      <c r="BT55" s="79">
        <v>552000</v>
      </c>
      <c r="BW55" s="38" t="s">
        <v>569</v>
      </c>
      <c r="BX55" s="37" t="s">
        <v>529</v>
      </c>
      <c r="BY55" s="78" t="str">
        <f t="shared" si="10"/>
        <v xml:space="preserve">(CO) - ARAPAHOE </v>
      </c>
      <c r="BZ55" s="80">
        <v>575000</v>
      </c>
      <c r="CC55" s="43" t="s">
        <v>563</v>
      </c>
      <c r="CD55" s="43" t="s">
        <v>564</v>
      </c>
      <c r="CE55" s="37" t="s">
        <v>529</v>
      </c>
      <c r="CF55" s="81" t="str">
        <f t="shared" si="16"/>
        <v>(CO) - ARAPAHOE COUNTY</v>
      </c>
      <c r="CG55" s="59">
        <v>596850</v>
      </c>
      <c r="CH55" s="59"/>
      <c r="CI55" s="263" t="s">
        <v>570</v>
      </c>
      <c r="CJ55" s="264" t="s">
        <v>529</v>
      </c>
      <c r="CK55" s="265">
        <v>747500</v>
      </c>
      <c r="CM55" s="43" t="str">
        <f t="shared" si="18"/>
        <v>(CO) - BOULDER COUNTY</v>
      </c>
      <c r="CN55" s="269">
        <f t="shared" si="17"/>
        <v>747500</v>
      </c>
      <c r="CO55" s="269"/>
      <c r="CQ55" s="266" t="s">
        <v>570</v>
      </c>
      <c r="CR55" s="267" t="s">
        <v>529</v>
      </c>
      <c r="CS55" s="268">
        <v>856750</v>
      </c>
      <c r="CV55" s="43" t="str">
        <f t="shared" si="11"/>
        <v>(CO) - ARAPAHOE COUNTY</v>
      </c>
      <c r="CW55" s="70">
        <f t="shared" si="12"/>
        <v>787750</v>
      </c>
    </row>
    <row r="56" spans="6:101" ht="15.75" thickBot="1" x14ac:dyDescent="0.3">
      <c r="F56" s="43" t="s">
        <v>571</v>
      </c>
      <c r="G56" s="58">
        <v>1094625</v>
      </c>
      <c r="H56" s="58"/>
      <c r="I56" s="43" t="s">
        <v>544</v>
      </c>
      <c r="J56" s="68" t="s">
        <v>549</v>
      </c>
      <c r="K56" s="68" t="str">
        <f t="shared" si="2"/>
        <v xml:space="preserve">(CO ) - SAN MIGUEL </v>
      </c>
      <c r="L56" s="69">
        <v>520000</v>
      </c>
      <c r="M56" s="68" t="s">
        <v>300</v>
      </c>
      <c r="N56" s="58"/>
      <c r="R56" s="43" t="s">
        <v>572</v>
      </c>
      <c r="S56" s="43" t="s">
        <v>573</v>
      </c>
      <c r="T56" s="68" t="str">
        <f t="shared" si="3"/>
        <v xml:space="preserve">(GU) - GUAM </v>
      </c>
      <c r="U56" s="70">
        <v>625500</v>
      </c>
      <c r="Y56" s="43" t="s">
        <v>559</v>
      </c>
      <c r="Z56" s="43" t="s">
        <v>560</v>
      </c>
      <c r="AA56" s="68" t="str">
        <f t="shared" si="4"/>
        <v xml:space="preserve">(CT) - FAIRFIELD </v>
      </c>
      <c r="AB56" s="59">
        <v>653750</v>
      </c>
      <c r="AF56" s="68" t="s">
        <v>529</v>
      </c>
      <c r="AG56" s="68" t="s">
        <v>554</v>
      </c>
      <c r="AH56" s="68" t="str">
        <f t="shared" si="5"/>
        <v xml:space="preserve">(CO) - SUMMIT </v>
      </c>
      <c r="AI56" s="71">
        <v>667500</v>
      </c>
      <c r="AK56" s="85" t="s">
        <v>529</v>
      </c>
      <c r="AL56" s="86" t="s">
        <v>574</v>
      </c>
      <c r="AM56" s="74" t="str">
        <f t="shared" si="6"/>
        <v>(CO) - BROOMFIELD</v>
      </c>
      <c r="AN56" s="87">
        <v>425000</v>
      </c>
      <c r="AP56" s="72" t="s">
        <v>529</v>
      </c>
      <c r="AQ56" s="73" t="s">
        <v>555</v>
      </c>
      <c r="AR56" s="74" t="str">
        <f t="shared" si="7"/>
        <v>(CO) - ADAMS</v>
      </c>
      <c r="AS56" s="75">
        <v>425000</v>
      </c>
      <c r="AU56" s="35" t="s">
        <v>529</v>
      </c>
      <c r="AV56" s="36" t="s">
        <v>555</v>
      </c>
      <c r="AW56" s="74" t="str">
        <f t="shared" si="13"/>
        <v>(CO) - ADAMS</v>
      </c>
      <c r="AX56" s="76">
        <v>424350</v>
      </c>
      <c r="AZ56" s="37" t="s">
        <v>529</v>
      </c>
      <c r="BA56" s="38" t="s">
        <v>555</v>
      </c>
      <c r="BB56" s="74" t="str">
        <f t="shared" si="14"/>
        <v>(CO) - ADAMS</v>
      </c>
      <c r="BC56" s="76">
        <v>458850</v>
      </c>
      <c r="BE56" s="39" t="s">
        <v>453</v>
      </c>
      <c r="BF56" s="40" t="s">
        <v>550</v>
      </c>
      <c r="BG56" s="41" t="str">
        <f t="shared" si="8"/>
        <v>(CA) - YOLO</v>
      </c>
      <c r="BH56" s="77">
        <v>488750</v>
      </c>
      <c r="BK56" s="37" t="s">
        <v>453</v>
      </c>
      <c r="BL56" s="38" t="s">
        <v>550</v>
      </c>
      <c r="BM56" s="43" t="str">
        <f t="shared" si="15"/>
        <v>(CA) - YOLO</v>
      </c>
      <c r="BN56" s="76">
        <v>517500</v>
      </c>
      <c r="BQ56" s="38" t="s">
        <v>555</v>
      </c>
      <c r="BR56" s="37" t="s">
        <v>529</v>
      </c>
      <c r="BS56" s="78" t="str">
        <f t="shared" si="9"/>
        <v>(CO) - ADAMS</v>
      </c>
      <c r="BT56" s="79">
        <v>561200</v>
      </c>
      <c r="BW56" s="38" t="s">
        <v>535</v>
      </c>
      <c r="BX56" s="37" t="s">
        <v>529</v>
      </c>
      <c r="BY56" s="78" t="str">
        <f t="shared" si="10"/>
        <v xml:space="preserve">(CO) - BOULDER </v>
      </c>
      <c r="BZ56" s="80">
        <v>644000</v>
      </c>
      <c r="CC56" s="43" t="s">
        <v>563</v>
      </c>
      <c r="CD56" s="43" t="s">
        <v>570</v>
      </c>
      <c r="CE56" s="37" t="s">
        <v>529</v>
      </c>
      <c r="CF56" s="81" t="str">
        <f t="shared" si="16"/>
        <v>(CO) - BOULDER COUNTY</v>
      </c>
      <c r="CG56" s="59">
        <v>654350</v>
      </c>
      <c r="CH56" s="59"/>
      <c r="CI56" s="266" t="s">
        <v>575</v>
      </c>
      <c r="CJ56" s="267" t="s">
        <v>529</v>
      </c>
      <c r="CK56" s="268">
        <v>684250</v>
      </c>
      <c r="CM56" s="43" t="str">
        <f t="shared" si="18"/>
        <v>(CO) - BROOMFIELD COUNTY</v>
      </c>
      <c r="CN56" s="269">
        <f t="shared" si="17"/>
        <v>684250</v>
      </c>
      <c r="CO56" s="269"/>
      <c r="CQ56" s="263" t="s">
        <v>575</v>
      </c>
      <c r="CR56" s="264" t="s">
        <v>529</v>
      </c>
      <c r="CS56" s="265">
        <v>787750</v>
      </c>
      <c r="CV56" s="43" t="str">
        <f t="shared" si="11"/>
        <v>(CO) - BOULDER COUNTY</v>
      </c>
      <c r="CW56" s="70">
        <f t="shared" si="12"/>
        <v>856750</v>
      </c>
    </row>
    <row r="57" spans="6:101" ht="15.75" thickBot="1" x14ac:dyDescent="0.3">
      <c r="F57" s="43" t="s">
        <v>576</v>
      </c>
      <c r="G57" s="58">
        <v>712500</v>
      </c>
      <c r="H57" s="58"/>
      <c r="I57" s="43" t="s">
        <v>544</v>
      </c>
      <c r="J57" s="68" t="s">
        <v>554</v>
      </c>
      <c r="K57" s="68" t="str">
        <f t="shared" si="2"/>
        <v xml:space="preserve">(CO ) - SUMMIT </v>
      </c>
      <c r="L57" s="69">
        <v>771250</v>
      </c>
      <c r="M57" s="68" t="s">
        <v>300</v>
      </c>
      <c r="N57" s="58"/>
      <c r="R57" s="43" t="s">
        <v>577</v>
      </c>
      <c r="S57" s="43" t="s">
        <v>578</v>
      </c>
      <c r="T57" s="68" t="str">
        <f t="shared" si="3"/>
        <v xml:space="preserve">(HI) - HAWAII </v>
      </c>
      <c r="U57" s="70">
        <v>625500</v>
      </c>
      <c r="Y57" s="43" t="s">
        <v>566</v>
      </c>
      <c r="Z57" s="43" t="s">
        <v>579</v>
      </c>
      <c r="AA57" s="68" t="str">
        <f t="shared" si="4"/>
        <v xml:space="preserve">(DC) - DISTRICT OF COL </v>
      </c>
      <c r="AB57" s="59">
        <v>838750</v>
      </c>
      <c r="AF57" s="68" t="s">
        <v>559</v>
      </c>
      <c r="AG57" s="68" t="s">
        <v>560</v>
      </c>
      <c r="AH57" s="68" t="str">
        <f t="shared" si="5"/>
        <v xml:space="preserve">(CT) - FAIRFIELD </v>
      </c>
      <c r="AI57" s="71">
        <v>612500</v>
      </c>
      <c r="AK57" s="85" t="s">
        <v>529</v>
      </c>
      <c r="AL57" s="86" t="s">
        <v>580</v>
      </c>
      <c r="AM57" s="74" t="str">
        <f t="shared" si="6"/>
        <v>(CO) - CLEAR CREEK</v>
      </c>
      <c r="AN57" s="87">
        <v>425000</v>
      </c>
      <c r="AP57" s="72" t="s">
        <v>529</v>
      </c>
      <c r="AQ57" s="73" t="s">
        <v>561</v>
      </c>
      <c r="AR57" s="74" t="str">
        <f t="shared" si="7"/>
        <v>(CO) - ARAPAHOE</v>
      </c>
      <c r="AS57" s="75">
        <v>425000</v>
      </c>
      <c r="AU57" s="35" t="s">
        <v>529</v>
      </c>
      <c r="AV57" s="36" t="s">
        <v>561</v>
      </c>
      <c r="AW57" s="74" t="str">
        <f t="shared" si="13"/>
        <v>(CO) - ARAPAHOE</v>
      </c>
      <c r="AX57" s="76">
        <v>424350</v>
      </c>
      <c r="AZ57" s="37" t="s">
        <v>529</v>
      </c>
      <c r="BA57" s="38" t="s">
        <v>561</v>
      </c>
      <c r="BB57" s="74" t="str">
        <f t="shared" si="14"/>
        <v>(CO) - ARAPAHOE</v>
      </c>
      <c r="BC57" s="76">
        <v>458850</v>
      </c>
      <c r="BE57" s="39" t="s">
        <v>529</v>
      </c>
      <c r="BF57" s="40" t="s">
        <v>555</v>
      </c>
      <c r="BG57" s="41" t="str">
        <f t="shared" si="8"/>
        <v>(CO) - ADAMS</v>
      </c>
      <c r="BH57" s="77">
        <v>493350</v>
      </c>
      <c r="BK57" s="37" t="s">
        <v>529</v>
      </c>
      <c r="BL57" s="38" t="s">
        <v>555</v>
      </c>
      <c r="BM57" s="43" t="str">
        <f t="shared" si="15"/>
        <v>(CO) - ADAMS</v>
      </c>
      <c r="BN57" s="76">
        <v>529000</v>
      </c>
      <c r="BQ57" s="38" t="s">
        <v>561</v>
      </c>
      <c r="BR57" s="37" t="s">
        <v>529</v>
      </c>
      <c r="BS57" s="78" t="str">
        <f t="shared" si="9"/>
        <v>(CO) - ARAPAHOE</v>
      </c>
      <c r="BT57" s="79">
        <v>561200</v>
      </c>
      <c r="BW57" s="38" t="s">
        <v>581</v>
      </c>
      <c r="BX57" s="37" t="s">
        <v>529</v>
      </c>
      <c r="BY57" s="78" t="str">
        <f t="shared" si="10"/>
        <v xml:space="preserve">(CO) - BROOMFIELD </v>
      </c>
      <c r="BZ57" s="80">
        <v>575000</v>
      </c>
      <c r="CC57" s="43" t="s">
        <v>563</v>
      </c>
      <c r="CD57" s="43" t="s">
        <v>575</v>
      </c>
      <c r="CE57" s="37" t="s">
        <v>529</v>
      </c>
      <c r="CF57" s="81" t="str">
        <f t="shared" si="16"/>
        <v>(CO) - BROOMFIELD COUNTY</v>
      </c>
      <c r="CG57" s="59">
        <v>596850</v>
      </c>
      <c r="CH57" s="59"/>
      <c r="CI57" s="263" t="s">
        <v>582</v>
      </c>
      <c r="CJ57" s="264" t="s">
        <v>529</v>
      </c>
      <c r="CK57" s="265">
        <v>684250</v>
      </c>
      <c r="CM57" s="43" t="str">
        <f t="shared" si="18"/>
        <v>(CO) - CLEAR CREEK COUNTY</v>
      </c>
      <c r="CN57" s="269">
        <f t="shared" si="17"/>
        <v>684250</v>
      </c>
      <c r="CO57" s="269"/>
      <c r="CQ57" s="266" t="s">
        <v>582</v>
      </c>
      <c r="CR57" s="267" t="s">
        <v>529</v>
      </c>
      <c r="CS57" s="268">
        <v>787750</v>
      </c>
      <c r="CV57" s="43" t="str">
        <f t="shared" si="11"/>
        <v>(CO) - BROOMFIELD COUNTY</v>
      </c>
      <c r="CW57" s="70">
        <f t="shared" si="12"/>
        <v>787750</v>
      </c>
    </row>
    <row r="58" spans="6:101" ht="15.75" thickBot="1" x14ac:dyDescent="0.3">
      <c r="F58" s="43" t="s">
        <v>583</v>
      </c>
      <c r="G58" s="58">
        <v>558750</v>
      </c>
      <c r="H58" s="58"/>
      <c r="I58" s="43" t="s">
        <v>584</v>
      </c>
      <c r="J58" s="68" t="s">
        <v>560</v>
      </c>
      <c r="K58" s="68" t="str">
        <f t="shared" si="2"/>
        <v xml:space="preserve">(CT ) - FAIRFIELD </v>
      </c>
      <c r="L58" s="69">
        <v>625000</v>
      </c>
      <c r="M58" s="68" t="s">
        <v>585</v>
      </c>
      <c r="N58" s="58"/>
      <c r="R58" s="43" t="s">
        <v>577</v>
      </c>
      <c r="S58" s="43" t="s">
        <v>586</v>
      </c>
      <c r="T58" s="68" t="str">
        <f t="shared" si="3"/>
        <v xml:space="preserve">(HI) - HONOLULU </v>
      </c>
      <c r="U58" s="70">
        <v>695750</v>
      </c>
      <c r="Y58" s="43" t="s">
        <v>572</v>
      </c>
      <c r="Z58" s="43" t="s">
        <v>573</v>
      </c>
      <c r="AA58" s="68" t="str">
        <f t="shared" si="4"/>
        <v xml:space="preserve">(GU) - GUAM </v>
      </c>
      <c r="AB58" s="59">
        <v>625500</v>
      </c>
      <c r="AF58" s="68" t="s">
        <v>566</v>
      </c>
      <c r="AG58" s="68" t="s">
        <v>579</v>
      </c>
      <c r="AH58" s="68" t="str">
        <f t="shared" si="5"/>
        <v xml:space="preserve">(DC) - DISTRICT OF COL </v>
      </c>
      <c r="AI58" s="71">
        <v>843750</v>
      </c>
      <c r="AK58" s="85" t="s">
        <v>529</v>
      </c>
      <c r="AL58" s="86" t="s">
        <v>587</v>
      </c>
      <c r="AM58" s="74" t="str">
        <f t="shared" si="6"/>
        <v>(CO) - DENVER</v>
      </c>
      <c r="AN58" s="87">
        <v>425000</v>
      </c>
      <c r="AP58" s="72" t="s">
        <v>529</v>
      </c>
      <c r="AQ58" s="73" t="s">
        <v>568</v>
      </c>
      <c r="AR58" s="74" t="str">
        <f t="shared" si="7"/>
        <v>(CO) - BOULDER</v>
      </c>
      <c r="AS58" s="75">
        <v>422500</v>
      </c>
      <c r="AU58" s="35" t="s">
        <v>529</v>
      </c>
      <c r="AV58" s="36" t="s">
        <v>568</v>
      </c>
      <c r="AW58" s="74" t="str">
        <f t="shared" si="13"/>
        <v>(CO) - BOULDER</v>
      </c>
      <c r="AX58" s="76">
        <v>456550</v>
      </c>
      <c r="AZ58" s="37" t="s">
        <v>529</v>
      </c>
      <c r="BA58" s="38" t="s">
        <v>568</v>
      </c>
      <c r="BB58" s="74" t="str">
        <f t="shared" si="14"/>
        <v>(CO) - BOULDER</v>
      </c>
      <c r="BC58" s="76">
        <v>474950</v>
      </c>
      <c r="BE58" s="39" t="s">
        <v>529</v>
      </c>
      <c r="BF58" s="40" t="s">
        <v>561</v>
      </c>
      <c r="BG58" s="41" t="str">
        <f t="shared" si="8"/>
        <v>(CO) - ARAPAHOE</v>
      </c>
      <c r="BH58" s="77">
        <v>493350</v>
      </c>
      <c r="BK58" s="37" t="s">
        <v>529</v>
      </c>
      <c r="BL58" s="38" t="s">
        <v>561</v>
      </c>
      <c r="BM58" s="43" t="str">
        <f t="shared" si="15"/>
        <v>(CO) - ARAPAHOE</v>
      </c>
      <c r="BN58" s="76">
        <v>529000</v>
      </c>
      <c r="BQ58" s="38" t="s">
        <v>568</v>
      </c>
      <c r="BR58" s="37" t="s">
        <v>529</v>
      </c>
      <c r="BS58" s="78" t="str">
        <f t="shared" si="9"/>
        <v>(CO) - BOULDER</v>
      </c>
      <c r="BT58" s="79">
        <v>626750</v>
      </c>
      <c r="BW58" s="38" t="s">
        <v>588</v>
      </c>
      <c r="BX58" s="37" t="s">
        <v>529</v>
      </c>
      <c r="BY58" s="78" t="str">
        <f t="shared" si="10"/>
        <v xml:space="preserve">(CO) - CLEAR CREEK </v>
      </c>
      <c r="BZ58" s="80">
        <v>575000</v>
      </c>
      <c r="CC58" s="43" t="s">
        <v>563</v>
      </c>
      <c r="CD58" s="43" t="s">
        <v>582</v>
      </c>
      <c r="CE58" s="37" t="s">
        <v>529</v>
      </c>
      <c r="CF58" s="81" t="str">
        <f t="shared" si="16"/>
        <v>(CO) - CLEAR CREEK COUNTY</v>
      </c>
      <c r="CG58" s="59">
        <v>596850</v>
      </c>
      <c r="CH58" s="59"/>
      <c r="CI58" s="266" t="s">
        <v>589</v>
      </c>
      <c r="CJ58" s="267" t="s">
        <v>529</v>
      </c>
      <c r="CK58" s="268">
        <v>684250</v>
      </c>
      <c r="CM58" s="43" t="str">
        <f t="shared" si="18"/>
        <v>(CO) - DENVER COUNTY</v>
      </c>
      <c r="CN58" s="269">
        <f t="shared" si="17"/>
        <v>684250</v>
      </c>
      <c r="CO58" s="269"/>
      <c r="CQ58" s="263" t="s">
        <v>589</v>
      </c>
      <c r="CR58" s="264" t="s">
        <v>529</v>
      </c>
      <c r="CS58" s="265">
        <v>787750</v>
      </c>
      <c r="CV58" s="43" t="str">
        <f t="shared" si="11"/>
        <v>(CO) - CLEAR CREEK COUNTY</v>
      </c>
      <c r="CW58" s="70">
        <f t="shared" si="12"/>
        <v>787750</v>
      </c>
    </row>
    <row r="59" spans="6:101" ht="15.75" thickBot="1" x14ac:dyDescent="0.3">
      <c r="F59" s="43" t="s">
        <v>590</v>
      </c>
      <c r="G59" s="58">
        <v>768750</v>
      </c>
      <c r="H59" s="58"/>
      <c r="I59" s="43" t="s">
        <v>591</v>
      </c>
      <c r="J59" s="68" t="s">
        <v>567</v>
      </c>
      <c r="K59" s="68" t="str">
        <f t="shared" si="2"/>
        <v xml:space="preserve">(DC ) - DISTRICT OF COLUMBIA </v>
      </c>
      <c r="L59" s="69">
        <v>818750</v>
      </c>
      <c r="M59" s="68" t="s">
        <v>592</v>
      </c>
      <c r="N59" s="58"/>
      <c r="R59" s="43" t="s">
        <v>577</v>
      </c>
      <c r="S59" s="43" t="s">
        <v>593</v>
      </c>
      <c r="T59" s="68" t="str">
        <f t="shared" si="3"/>
        <v xml:space="preserve">(HI) - KALAWAO </v>
      </c>
      <c r="U59" s="70">
        <v>625500</v>
      </c>
      <c r="Y59" s="43" t="s">
        <v>577</v>
      </c>
      <c r="Z59" s="43" t="s">
        <v>578</v>
      </c>
      <c r="AA59" s="68" t="str">
        <f t="shared" si="4"/>
        <v xml:space="preserve">(HI) - HAWAII </v>
      </c>
      <c r="AB59" s="59">
        <v>625500</v>
      </c>
      <c r="AF59" s="68" t="s">
        <v>572</v>
      </c>
      <c r="AG59" s="68" t="s">
        <v>573</v>
      </c>
      <c r="AH59" s="68" t="str">
        <f t="shared" si="5"/>
        <v xml:space="preserve">(GU) - GUAM </v>
      </c>
      <c r="AI59" s="71">
        <v>625500</v>
      </c>
      <c r="AK59" s="85" t="s">
        <v>529</v>
      </c>
      <c r="AL59" s="86" t="s">
        <v>594</v>
      </c>
      <c r="AM59" s="74" t="str">
        <f t="shared" si="6"/>
        <v>(CO) - DOUGLAS</v>
      </c>
      <c r="AN59" s="87">
        <v>425000</v>
      </c>
      <c r="AP59" s="72" t="s">
        <v>529</v>
      </c>
      <c r="AQ59" s="73" t="s">
        <v>574</v>
      </c>
      <c r="AR59" s="74" t="str">
        <f t="shared" si="7"/>
        <v>(CO) - BROOMFIELD</v>
      </c>
      <c r="AS59" s="75">
        <v>425000</v>
      </c>
      <c r="AU59" s="35" t="s">
        <v>529</v>
      </c>
      <c r="AV59" s="36" t="s">
        <v>574</v>
      </c>
      <c r="AW59" s="74" t="str">
        <f t="shared" si="13"/>
        <v>(CO) - BROOMFIELD</v>
      </c>
      <c r="AX59" s="76">
        <v>424350</v>
      </c>
      <c r="AZ59" s="37" t="s">
        <v>529</v>
      </c>
      <c r="BA59" s="38" t="s">
        <v>574</v>
      </c>
      <c r="BB59" s="74" t="str">
        <f t="shared" si="14"/>
        <v>(CO) - BROOMFIELD</v>
      </c>
      <c r="BC59" s="76">
        <v>458850</v>
      </c>
      <c r="BE59" s="39" t="s">
        <v>529</v>
      </c>
      <c r="BF59" s="40" t="s">
        <v>568</v>
      </c>
      <c r="BG59" s="41" t="str">
        <f t="shared" si="8"/>
        <v>(CO) - BOULDER</v>
      </c>
      <c r="BH59" s="77">
        <v>529000</v>
      </c>
      <c r="BK59" s="37" t="s">
        <v>529</v>
      </c>
      <c r="BL59" s="38" t="s">
        <v>568</v>
      </c>
      <c r="BM59" s="43" t="str">
        <f t="shared" si="15"/>
        <v>(CO) - BOULDER</v>
      </c>
      <c r="BN59" s="76">
        <v>578450</v>
      </c>
      <c r="BQ59" s="38" t="s">
        <v>574</v>
      </c>
      <c r="BR59" s="37" t="s">
        <v>529</v>
      </c>
      <c r="BS59" s="78" t="str">
        <f t="shared" si="9"/>
        <v>(CO) - BROOMFIELD</v>
      </c>
      <c r="BT59" s="79">
        <v>561200</v>
      </c>
      <c r="BW59" s="38" t="s">
        <v>300</v>
      </c>
      <c r="BX59" s="37" t="s">
        <v>529</v>
      </c>
      <c r="BY59" s="78" t="str">
        <f t="shared" si="10"/>
        <v xml:space="preserve">(CO) - DENVER </v>
      </c>
      <c r="BZ59" s="80">
        <v>575000</v>
      </c>
      <c r="CC59" s="43" t="s">
        <v>563</v>
      </c>
      <c r="CD59" s="43" t="s">
        <v>589</v>
      </c>
      <c r="CE59" s="37" t="s">
        <v>529</v>
      </c>
      <c r="CF59" s="81" t="str">
        <f t="shared" si="16"/>
        <v>(CO) - DENVER COUNTY</v>
      </c>
      <c r="CG59" s="59">
        <v>596850</v>
      </c>
      <c r="CH59" s="59"/>
      <c r="CI59" s="263" t="s">
        <v>595</v>
      </c>
      <c r="CJ59" s="264" t="s">
        <v>529</v>
      </c>
      <c r="CK59" s="265">
        <v>684250</v>
      </c>
      <c r="CM59" s="43" t="str">
        <f t="shared" si="18"/>
        <v>(CO) - DOUGLAS COUNTY</v>
      </c>
      <c r="CN59" s="269">
        <f t="shared" si="17"/>
        <v>684250</v>
      </c>
      <c r="CO59" s="269"/>
      <c r="CQ59" s="266" t="s">
        <v>595</v>
      </c>
      <c r="CR59" s="267" t="s">
        <v>529</v>
      </c>
      <c r="CS59" s="268">
        <v>787750</v>
      </c>
      <c r="CV59" s="43" t="str">
        <f t="shared" si="11"/>
        <v>(CO) - DENVER COUNTY</v>
      </c>
      <c r="CW59" s="70">
        <f t="shared" si="12"/>
        <v>787750</v>
      </c>
    </row>
    <row r="60" spans="6:101" ht="15.75" thickBot="1" x14ac:dyDescent="0.3">
      <c r="F60" s="43" t="s">
        <v>596</v>
      </c>
      <c r="G60" s="58">
        <v>425000</v>
      </c>
      <c r="H60" s="58"/>
      <c r="I60" s="43" t="s">
        <v>597</v>
      </c>
      <c r="J60" s="68" t="s">
        <v>598</v>
      </c>
      <c r="K60" s="68" t="str">
        <f t="shared" si="2"/>
        <v xml:space="preserve">(FL ) - MONROE </v>
      </c>
      <c r="L60" s="69">
        <v>437500</v>
      </c>
      <c r="M60" s="68" t="s">
        <v>599</v>
      </c>
      <c r="N60" s="58"/>
      <c r="R60" s="43" t="s">
        <v>577</v>
      </c>
      <c r="S60" s="43" t="s">
        <v>600</v>
      </c>
      <c r="T60" s="68" t="str">
        <f t="shared" si="3"/>
        <v xml:space="preserve">(HI) - KAUAI </v>
      </c>
      <c r="U60" s="70">
        <v>625500</v>
      </c>
      <c r="Y60" s="43" t="s">
        <v>577</v>
      </c>
      <c r="Z60" s="43" t="s">
        <v>586</v>
      </c>
      <c r="AA60" s="68" t="str">
        <f t="shared" si="4"/>
        <v xml:space="preserve">(HI) - HONOLULU </v>
      </c>
      <c r="AB60" s="59">
        <v>756250</v>
      </c>
      <c r="AF60" s="68" t="s">
        <v>577</v>
      </c>
      <c r="AG60" s="68" t="s">
        <v>578</v>
      </c>
      <c r="AH60" s="68" t="str">
        <f t="shared" si="5"/>
        <v xml:space="preserve">(HI) - HAWAII </v>
      </c>
      <c r="AI60" s="71">
        <v>625500</v>
      </c>
      <c r="AK60" s="72" t="s">
        <v>529</v>
      </c>
      <c r="AL60" s="73" t="s">
        <v>601</v>
      </c>
      <c r="AM60" s="74" t="str">
        <f t="shared" si="6"/>
        <v>(CO) - EAGLE</v>
      </c>
      <c r="AN60" s="75">
        <v>587500</v>
      </c>
      <c r="AP60" s="72" t="s">
        <v>529</v>
      </c>
      <c r="AQ60" s="73" t="s">
        <v>580</v>
      </c>
      <c r="AR60" s="74" t="str">
        <f t="shared" si="7"/>
        <v>(CO) - CLEAR CREEK</v>
      </c>
      <c r="AS60" s="75">
        <v>425000</v>
      </c>
      <c r="AU60" s="35" t="s">
        <v>529</v>
      </c>
      <c r="AV60" s="36" t="s">
        <v>580</v>
      </c>
      <c r="AW60" s="74" t="str">
        <f t="shared" si="13"/>
        <v>(CO) - CLEAR CREEK</v>
      </c>
      <c r="AX60" s="76">
        <v>424350</v>
      </c>
      <c r="AZ60" s="37" t="s">
        <v>529</v>
      </c>
      <c r="BA60" s="38" t="s">
        <v>580</v>
      </c>
      <c r="BB60" s="74" t="str">
        <f t="shared" si="14"/>
        <v>(CO) - CLEAR CREEK</v>
      </c>
      <c r="BC60" s="76">
        <v>458850</v>
      </c>
      <c r="BE60" s="39" t="s">
        <v>529</v>
      </c>
      <c r="BF60" s="40" t="s">
        <v>574</v>
      </c>
      <c r="BG60" s="41" t="str">
        <f t="shared" si="8"/>
        <v>(CO) - BROOMFIELD</v>
      </c>
      <c r="BH60" s="77">
        <v>493350</v>
      </c>
      <c r="BK60" s="37" t="s">
        <v>529</v>
      </c>
      <c r="BL60" s="38" t="s">
        <v>574</v>
      </c>
      <c r="BM60" s="43" t="str">
        <f t="shared" si="15"/>
        <v>(CO) - BROOMFIELD</v>
      </c>
      <c r="BN60" s="76">
        <v>529000</v>
      </c>
      <c r="BQ60" s="38" t="s">
        <v>580</v>
      </c>
      <c r="BR60" s="37" t="s">
        <v>529</v>
      </c>
      <c r="BS60" s="78" t="str">
        <f t="shared" si="9"/>
        <v>(CO) - CLEAR CREEK</v>
      </c>
      <c r="BT60" s="79">
        <v>561200</v>
      </c>
      <c r="BW60" s="38" t="s">
        <v>602</v>
      </c>
      <c r="BX60" s="37" t="s">
        <v>529</v>
      </c>
      <c r="BY60" s="78" t="str">
        <f t="shared" si="10"/>
        <v xml:space="preserve">(CO) - DOUGLAS </v>
      </c>
      <c r="BZ60" s="80">
        <v>575000</v>
      </c>
      <c r="CC60" s="43" t="s">
        <v>563</v>
      </c>
      <c r="CD60" s="43" t="s">
        <v>595</v>
      </c>
      <c r="CE60" s="37" t="s">
        <v>529</v>
      </c>
      <c r="CF60" s="81" t="str">
        <f t="shared" si="16"/>
        <v>(CO) - DOUGLAS COUNTY</v>
      </c>
      <c r="CG60" s="59">
        <v>596850</v>
      </c>
      <c r="CH60" s="59"/>
      <c r="CI60" s="266" t="s">
        <v>603</v>
      </c>
      <c r="CJ60" s="267" t="s">
        <v>529</v>
      </c>
      <c r="CK60" s="268">
        <v>862500</v>
      </c>
      <c r="CM60" s="43" t="str">
        <f t="shared" si="18"/>
        <v>(CO) - EAGLE COUNTY</v>
      </c>
      <c r="CN60" s="269">
        <f t="shared" si="17"/>
        <v>862500</v>
      </c>
      <c r="CO60" s="269"/>
      <c r="CQ60" s="263" t="s">
        <v>603</v>
      </c>
      <c r="CR60" s="264" t="s">
        <v>529</v>
      </c>
      <c r="CS60" s="265">
        <v>1075250</v>
      </c>
      <c r="CV60" s="43" t="str">
        <f t="shared" si="11"/>
        <v>(CO) - DOUGLAS COUNTY</v>
      </c>
      <c r="CW60" s="70">
        <f t="shared" si="12"/>
        <v>787750</v>
      </c>
    </row>
    <row r="61" spans="6:101" ht="15.75" thickBot="1" x14ac:dyDescent="0.3">
      <c r="F61" s="43" t="s">
        <v>604</v>
      </c>
      <c r="G61" s="58">
        <v>508750</v>
      </c>
      <c r="H61" s="58"/>
      <c r="I61" s="43" t="s">
        <v>605</v>
      </c>
      <c r="J61" s="68" t="s">
        <v>573</v>
      </c>
      <c r="K61" s="68" t="str">
        <f t="shared" si="2"/>
        <v xml:space="preserve">(GU ) - GUAM </v>
      </c>
      <c r="L61" s="69">
        <v>625500</v>
      </c>
      <c r="M61" s="68" t="s">
        <v>586</v>
      </c>
      <c r="N61" s="58"/>
      <c r="R61" s="43" t="s">
        <v>577</v>
      </c>
      <c r="S61" s="43" t="s">
        <v>606</v>
      </c>
      <c r="T61" s="68" t="str">
        <f t="shared" si="3"/>
        <v xml:space="preserve">(HI) - MAUI </v>
      </c>
      <c r="U61" s="70">
        <v>625500</v>
      </c>
      <c r="Y61" s="43" t="s">
        <v>577</v>
      </c>
      <c r="Z61" s="43" t="s">
        <v>593</v>
      </c>
      <c r="AA61" s="68" t="str">
        <f t="shared" si="4"/>
        <v xml:space="preserve">(HI) - KALAWAO </v>
      </c>
      <c r="AB61" s="59">
        <v>625500</v>
      </c>
      <c r="AF61" s="68" t="s">
        <v>577</v>
      </c>
      <c r="AG61" s="68" t="s">
        <v>586</v>
      </c>
      <c r="AH61" s="68" t="str">
        <f t="shared" si="5"/>
        <v xml:space="preserve">(HI) - HONOLULU </v>
      </c>
      <c r="AI61" s="71">
        <v>750000</v>
      </c>
      <c r="AK61" s="85" t="s">
        <v>529</v>
      </c>
      <c r="AL61" s="86" t="s">
        <v>607</v>
      </c>
      <c r="AM61" s="74" t="str">
        <f t="shared" si="6"/>
        <v>(CO) - ELBERT</v>
      </c>
      <c r="AN61" s="87">
        <v>425000</v>
      </c>
      <c r="AP61" s="72" t="s">
        <v>529</v>
      </c>
      <c r="AQ61" s="73" t="s">
        <v>587</v>
      </c>
      <c r="AR61" s="74" t="str">
        <f t="shared" si="7"/>
        <v>(CO) - DENVER</v>
      </c>
      <c r="AS61" s="75">
        <v>425000</v>
      </c>
      <c r="AU61" s="35" t="s">
        <v>529</v>
      </c>
      <c r="AV61" s="36" t="s">
        <v>587</v>
      </c>
      <c r="AW61" s="74" t="str">
        <f t="shared" si="13"/>
        <v>(CO) - DENVER</v>
      </c>
      <c r="AX61" s="76">
        <v>424350</v>
      </c>
      <c r="AZ61" s="37" t="s">
        <v>529</v>
      </c>
      <c r="BA61" s="38" t="s">
        <v>587</v>
      </c>
      <c r="BB61" s="74" t="str">
        <f t="shared" si="14"/>
        <v>(CO) - DENVER</v>
      </c>
      <c r="BC61" s="76">
        <v>458850</v>
      </c>
      <c r="BE61" s="39" t="s">
        <v>529</v>
      </c>
      <c r="BF61" s="40" t="s">
        <v>580</v>
      </c>
      <c r="BG61" s="41" t="str">
        <f t="shared" si="8"/>
        <v>(CO) - CLEAR CREEK</v>
      </c>
      <c r="BH61" s="77">
        <v>493350</v>
      </c>
      <c r="BK61" s="37" t="s">
        <v>529</v>
      </c>
      <c r="BL61" s="38" t="s">
        <v>580</v>
      </c>
      <c r="BM61" s="43" t="str">
        <f t="shared" si="15"/>
        <v>(CO) - CLEAR CREEK</v>
      </c>
      <c r="BN61" s="76">
        <v>529000</v>
      </c>
      <c r="BQ61" s="38" t="s">
        <v>587</v>
      </c>
      <c r="BR61" s="37" t="s">
        <v>529</v>
      </c>
      <c r="BS61" s="78" t="str">
        <f t="shared" si="9"/>
        <v>(CO) - DENVER</v>
      </c>
      <c r="BT61" s="79">
        <v>561200</v>
      </c>
      <c r="BW61" s="38" t="s">
        <v>530</v>
      </c>
      <c r="BX61" s="37" t="s">
        <v>529</v>
      </c>
      <c r="BY61" s="78" t="str">
        <f t="shared" si="10"/>
        <v xml:space="preserve">(CO) - EAGLE </v>
      </c>
      <c r="BZ61" s="80">
        <v>750950</v>
      </c>
      <c r="CC61" s="43" t="s">
        <v>563</v>
      </c>
      <c r="CD61" s="43" t="s">
        <v>603</v>
      </c>
      <c r="CE61" s="37" t="s">
        <v>529</v>
      </c>
      <c r="CF61" s="81" t="str">
        <f t="shared" si="16"/>
        <v>(CO) - EAGLE COUNTY</v>
      </c>
      <c r="CG61" s="59">
        <v>822250</v>
      </c>
      <c r="CH61" s="59"/>
      <c r="CI61" s="263" t="s">
        <v>608</v>
      </c>
      <c r="CJ61" s="264" t="s">
        <v>529</v>
      </c>
      <c r="CK61" s="265">
        <v>684250</v>
      </c>
      <c r="CM61" s="43" t="str">
        <f t="shared" si="18"/>
        <v>(CO) - ELBERT COUNTY</v>
      </c>
      <c r="CN61" s="269">
        <f t="shared" si="17"/>
        <v>684250</v>
      </c>
      <c r="CO61" s="269"/>
      <c r="CQ61" s="266" t="s">
        <v>608</v>
      </c>
      <c r="CR61" s="267" t="s">
        <v>529</v>
      </c>
      <c r="CS61" s="268">
        <v>787750</v>
      </c>
      <c r="CV61" s="43" t="str">
        <f t="shared" si="11"/>
        <v>(CO) - EAGLE COUNTY</v>
      </c>
      <c r="CW61" s="70">
        <f t="shared" si="12"/>
        <v>1075250</v>
      </c>
    </row>
    <row r="62" spans="6:101" ht="15.75" thickBot="1" x14ac:dyDescent="0.3">
      <c r="F62" s="43" t="s">
        <v>609</v>
      </c>
      <c r="G62" s="58">
        <v>625500</v>
      </c>
      <c r="H62" s="58"/>
      <c r="I62" s="43" t="s">
        <v>610</v>
      </c>
      <c r="J62" s="68" t="s">
        <v>578</v>
      </c>
      <c r="K62" s="68" t="str">
        <f t="shared" si="2"/>
        <v xml:space="preserve">(HI ) - HAWAII </v>
      </c>
      <c r="L62" s="69">
        <v>625500</v>
      </c>
      <c r="M62" s="68" t="s">
        <v>586</v>
      </c>
      <c r="N62" s="58"/>
      <c r="R62" s="43" t="s">
        <v>611</v>
      </c>
      <c r="S62" s="43" t="s">
        <v>612</v>
      </c>
      <c r="T62" s="68" t="str">
        <f t="shared" si="3"/>
        <v xml:space="preserve">(ID) - TETON </v>
      </c>
      <c r="U62" s="70">
        <v>600300</v>
      </c>
      <c r="Y62" s="43" t="s">
        <v>577</v>
      </c>
      <c r="Z62" s="43" t="s">
        <v>600</v>
      </c>
      <c r="AA62" s="68" t="str">
        <f t="shared" si="4"/>
        <v xml:space="preserve">(HI) - KAUAI </v>
      </c>
      <c r="AB62" s="59">
        <v>625500</v>
      </c>
      <c r="AF62" s="68" t="s">
        <v>577</v>
      </c>
      <c r="AG62" s="68" t="s">
        <v>593</v>
      </c>
      <c r="AH62" s="68" t="str">
        <f t="shared" si="5"/>
        <v xml:space="preserve">(HI) - KALAWAO </v>
      </c>
      <c r="AI62" s="71">
        <v>625500</v>
      </c>
      <c r="AK62" s="85" t="s">
        <v>529</v>
      </c>
      <c r="AL62" s="86" t="s">
        <v>613</v>
      </c>
      <c r="AM62" s="74" t="str">
        <f t="shared" si="6"/>
        <v>(CO) - GARFIELD</v>
      </c>
      <c r="AN62" s="87">
        <v>781250</v>
      </c>
      <c r="AP62" s="72" t="s">
        <v>529</v>
      </c>
      <c r="AQ62" s="73" t="s">
        <v>594</v>
      </c>
      <c r="AR62" s="74" t="str">
        <f t="shared" si="7"/>
        <v>(CO) - DOUGLAS</v>
      </c>
      <c r="AS62" s="75">
        <v>425000</v>
      </c>
      <c r="AU62" s="35" t="s">
        <v>529</v>
      </c>
      <c r="AV62" s="36" t="s">
        <v>594</v>
      </c>
      <c r="AW62" s="74" t="str">
        <f t="shared" si="13"/>
        <v>(CO) - DOUGLAS</v>
      </c>
      <c r="AX62" s="76">
        <v>424350</v>
      </c>
      <c r="AZ62" s="37" t="s">
        <v>529</v>
      </c>
      <c r="BA62" s="38" t="s">
        <v>594</v>
      </c>
      <c r="BB62" s="74" t="str">
        <f t="shared" si="14"/>
        <v>(CO) - DOUGLAS</v>
      </c>
      <c r="BC62" s="76">
        <v>458850</v>
      </c>
      <c r="BE62" s="39" t="s">
        <v>529</v>
      </c>
      <c r="BF62" s="40" t="s">
        <v>587</v>
      </c>
      <c r="BG62" s="41" t="str">
        <f t="shared" si="8"/>
        <v>(CO) - DENVER</v>
      </c>
      <c r="BH62" s="77">
        <v>493350</v>
      </c>
      <c r="BK62" s="37" t="s">
        <v>529</v>
      </c>
      <c r="BL62" s="38" t="s">
        <v>587</v>
      </c>
      <c r="BM62" s="43" t="str">
        <f t="shared" si="15"/>
        <v>(CO) - DENVER</v>
      </c>
      <c r="BN62" s="76">
        <v>529000</v>
      </c>
      <c r="BQ62" s="38" t="s">
        <v>594</v>
      </c>
      <c r="BR62" s="37" t="s">
        <v>529</v>
      </c>
      <c r="BS62" s="78" t="str">
        <f t="shared" si="9"/>
        <v>(CO) - DOUGLAS</v>
      </c>
      <c r="BT62" s="79">
        <v>561200</v>
      </c>
      <c r="BW62" s="38" t="s">
        <v>614</v>
      </c>
      <c r="BX62" s="37" t="s">
        <v>529</v>
      </c>
      <c r="BY62" s="78" t="str">
        <f t="shared" si="10"/>
        <v xml:space="preserve">(CO) - ELBERT </v>
      </c>
      <c r="BZ62" s="80">
        <v>575000</v>
      </c>
      <c r="CC62" s="43" t="s">
        <v>563</v>
      </c>
      <c r="CD62" s="43" t="s">
        <v>608</v>
      </c>
      <c r="CE62" s="37" t="s">
        <v>529</v>
      </c>
      <c r="CF62" s="81" t="str">
        <f t="shared" si="16"/>
        <v>(CO) - ELBERT COUNTY</v>
      </c>
      <c r="CG62" s="59">
        <v>596850</v>
      </c>
      <c r="CH62" s="59"/>
      <c r="CI62" s="266" t="s">
        <v>615</v>
      </c>
      <c r="CJ62" s="267" t="s">
        <v>529</v>
      </c>
      <c r="CK62" s="268">
        <v>856750</v>
      </c>
      <c r="CM62" s="43" t="str">
        <f t="shared" si="18"/>
        <v>(CO) - GARFIELD COUNTY</v>
      </c>
      <c r="CN62" s="269">
        <f t="shared" si="17"/>
        <v>856750</v>
      </c>
      <c r="CO62" s="269"/>
      <c r="CQ62" s="263" t="s">
        <v>615</v>
      </c>
      <c r="CR62" s="264" t="s">
        <v>529</v>
      </c>
      <c r="CS62" s="265">
        <v>948750</v>
      </c>
      <c r="CV62" s="43" t="str">
        <f t="shared" si="11"/>
        <v>(CO) - ELBERT COUNTY</v>
      </c>
      <c r="CW62" s="70">
        <f t="shared" si="12"/>
        <v>787750</v>
      </c>
    </row>
    <row r="63" spans="6:101" ht="15.75" thickBot="1" x14ac:dyDescent="0.3">
      <c r="F63" s="43" t="s">
        <v>616</v>
      </c>
      <c r="G63" s="58">
        <v>625500</v>
      </c>
      <c r="H63" s="58"/>
      <c r="I63" s="43" t="s">
        <v>610</v>
      </c>
      <c r="J63" s="68" t="s">
        <v>586</v>
      </c>
      <c r="K63" s="68" t="str">
        <f t="shared" si="2"/>
        <v xml:space="preserve">(HI ) - HONOLULU </v>
      </c>
      <c r="L63" s="69">
        <v>741250</v>
      </c>
      <c r="M63" s="68" t="s">
        <v>586</v>
      </c>
      <c r="N63" s="58"/>
      <c r="R63" s="43" t="s">
        <v>617</v>
      </c>
      <c r="S63" s="43" t="s">
        <v>618</v>
      </c>
      <c r="T63" s="68" t="str">
        <f t="shared" si="3"/>
        <v xml:space="preserve">(MA) - DUKES </v>
      </c>
      <c r="U63" s="70">
        <v>625500</v>
      </c>
      <c r="Y63" s="43" t="s">
        <v>577</v>
      </c>
      <c r="Z63" s="43" t="s">
        <v>606</v>
      </c>
      <c r="AA63" s="68" t="str">
        <f t="shared" si="4"/>
        <v xml:space="preserve">(HI) - MAUI </v>
      </c>
      <c r="AB63" s="59">
        <v>625500</v>
      </c>
      <c r="AF63" s="68" t="s">
        <v>577</v>
      </c>
      <c r="AG63" s="68" t="s">
        <v>600</v>
      </c>
      <c r="AH63" s="68" t="str">
        <f t="shared" si="5"/>
        <v xml:space="preserve">(HI) - KAUAI </v>
      </c>
      <c r="AI63" s="71">
        <v>625500</v>
      </c>
      <c r="AK63" s="85" t="s">
        <v>529</v>
      </c>
      <c r="AL63" s="86" t="s">
        <v>619</v>
      </c>
      <c r="AM63" s="74" t="str">
        <f t="shared" si="6"/>
        <v>(CO) - GILPIN</v>
      </c>
      <c r="AN63" s="87">
        <v>425000</v>
      </c>
      <c r="AP63" s="72" t="s">
        <v>529</v>
      </c>
      <c r="AQ63" s="73" t="s">
        <v>601</v>
      </c>
      <c r="AR63" s="74" t="str">
        <f t="shared" si="7"/>
        <v>(CO) - EAGLE</v>
      </c>
      <c r="AS63" s="75">
        <v>625500</v>
      </c>
      <c r="AU63" s="35" t="s">
        <v>529</v>
      </c>
      <c r="AV63" s="36" t="s">
        <v>601</v>
      </c>
      <c r="AW63" s="74" t="str">
        <f t="shared" si="13"/>
        <v>(CO) - EAGLE</v>
      </c>
      <c r="AX63" s="76">
        <v>625500</v>
      </c>
      <c r="AZ63" s="37" t="s">
        <v>529</v>
      </c>
      <c r="BA63" s="38" t="s">
        <v>601</v>
      </c>
      <c r="BB63" s="74" t="str">
        <f t="shared" si="14"/>
        <v>(CO) - EAGLE</v>
      </c>
      <c r="BC63" s="76">
        <v>625500</v>
      </c>
      <c r="BE63" s="39" t="s">
        <v>529</v>
      </c>
      <c r="BF63" s="40" t="s">
        <v>594</v>
      </c>
      <c r="BG63" s="41" t="str">
        <f t="shared" si="8"/>
        <v>(CO) - DOUGLAS</v>
      </c>
      <c r="BH63" s="77">
        <v>493350</v>
      </c>
      <c r="BK63" s="37" t="s">
        <v>529</v>
      </c>
      <c r="BL63" s="38" t="s">
        <v>594</v>
      </c>
      <c r="BM63" s="43" t="str">
        <f t="shared" si="15"/>
        <v>(CO) - DOUGLAS</v>
      </c>
      <c r="BN63" s="76">
        <v>529000</v>
      </c>
      <c r="BQ63" s="38" t="s">
        <v>601</v>
      </c>
      <c r="BR63" s="37" t="s">
        <v>529</v>
      </c>
      <c r="BS63" s="78" t="str">
        <f t="shared" si="9"/>
        <v>(CO) - EAGLE</v>
      </c>
      <c r="BT63" s="79">
        <v>696900</v>
      </c>
      <c r="BW63" s="38" t="s">
        <v>620</v>
      </c>
      <c r="BX63" s="37" t="s">
        <v>529</v>
      </c>
      <c r="BY63" s="78" t="str">
        <f t="shared" si="10"/>
        <v xml:space="preserve">(CO) - GARFIELD </v>
      </c>
      <c r="BZ63" s="80">
        <v>765600</v>
      </c>
      <c r="CC63" s="43" t="s">
        <v>563</v>
      </c>
      <c r="CD63" s="43" t="s">
        <v>615</v>
      </c>
      <c r="CE63" s="37" t="s">
        <v>529</v>
      </c>
      <c r="CF63" s="81" t="str">
        <f t="shared" si="16"/>
        <v>(CO) - GARFIELD COUNTY</v>
      </c>
      <c r="CG63" s="59">
        <v>765600</v>
      </c>
      <c r="CH63" s="59"/>
      <c r="CI63" s="263" t="s">
        <v>621</v>
      </c>
      <c r="CJ63" s="264" t="s">
        <v>529</v>
      </c>
      <c r="CK63" s="265">
        <v>684250</v>
      </c>
      <c r="CM63" s="43" t="str">
        <f t="shared" si="18"/>
        <v>(CO) - GILPIN COUNTY</v>
      </c>
      <c r="CN63" s="269">
        <f t="shared" si="17"/>
        <v>684250</v>
      </c>
      <c r="CO63" s="269"/>
      <c r="CQ63" s="266" t="s">
        <v>621</v>
      </c>
      <c r="CR63" s="267" t="s">
        <v>529</v>
      </c>
      <c r="CS63" s="268">
        <v>787750</v>
      </c>
      <c r="CV63" s="43" t="str">
        <f t="shared" si="11"/>
        <v>(CO) - GARFIELD COUNTY</v>
      </c>
      <c r="CW63" s="70">
        <f t="shared" si="12"/>
        <v>948750</v>
      </c>
    </row>
    <row r="64" spans="6:101" ht="15.75" thickBot="1" x14ac:dyDescent="0.3">
      <c r="F64" s="43" t="s">
        <v>622</v>
      </c>
      <c r="G64" s="58">
        <v>700000</v>
      </c>
      <c r="H64" s="58"/>
      <c r="I64" s="43" t="s">
        <v>610</v>
      </c>
      <c r="J64" s="68" t="s">
        <v>593</v>
      </c>
      <c r="K64" s="68" t="str">
        <f t="shared" si="2"/>
        <v xml:space="preserve">(HI ) - KALAWAO </v>
      </c>
      <c r="L64" s="69">
        <v>625500</v>
      </c>
      <c r="M64" s="68" t="s">
        <v>586</v>
      </c>
      <c r="N64" s="58"/>
      <c r="R64" s="43" t="s">
        <v>617</v>
      </c>
      <c r="S64" s="43" t="s">
        <v>623</v>
      </c>
      <c r="T64" s="68" t="str">
        <f t="shared" si="3"/>
        <v xml:space="preserve">(MA) - ESSEX </v>
      </c>
      <c r="U64" s="70">
        <v>460000</v>
      </c>
      <c r="Y64" s="43" t="s">
        <v>611</v>
      </c>
      <c r="Z64" s="43" t="s">
        <v>624</v>
      </c>
      <c r="AA64" s="68" t="str">
        <f t="shared" si="4"/>
        <v xml:space="preserve">(ID) - BLAINE </v>
      </c>
      <c r="AB64" s="59">
        <v>435000</v>
      </c>
      <c r="AF64" s="68" t="s">
        <v>577</v>
      </c>
      <c r="AG64" s="68" t="s">
        <v>606</v>
      </c>
      <c r="AH64" s="68" t="str">
        <f t="shared" si="5"/>
        <v xml:space="preserve">(HI) - MAUI </v>
      </c>
      <c r="AI64" s="71">
        <v>625500</v>
      </c>
      <c r="AK64" s="72" t="s">
        <v>529</v>
      </c>
      <c r="AL64" s="73" t="s">
        <v>625</v>
      </c>
      <c r="AM64" s="74" t="str">
        <f t="shared" si="6"/>
        <v>(CO) - JEFFERSON</v>
      </c>
      <c r="AN64" s="75">
        <v>425000</v>
      </c>
      <c r="AP64" s="72" t="s">
        <v>529</v>
      </c>
      <c r="AQ64" s="73" t="s">
        <v>607</v>
      </c>
      <c r="AR64" s="74" t="str">
        <f t="shared" si="7"/>
        <v>(CO) - ELBERT</v>
      </c>
      <c r="AS64" s="75">
        <v>425000</v>
      </c>
      <c r="AU64" s="35" t="s">
        <v>529</v>
      </c>
      <c r="AV64" s="36" t="s">
        <v>607</v>
      </c>
      <c r="AW64" s="74" t="str">
        <f t="shared" si="13"/>
        <v>(CO) - ELBERT</v>
      </c>
      <c r="AX64" s="76">
        <v>424350</v>
      </c>
      <c r="AZ64" s="37" t="s">
        <v>529</v>
      </c>
      <c r="BA64" s="38" t="s">
        <v>607</v>
      </c>
      <c r="BB64" s="74" t="str">
        <f t="shared" si="14"/>
        <v>(CO) - ELBERT</v>
      </c>
      <c r="BC64" s="76">
        <v>458850</v>
      </c>
      <c r="BE64" s="39" t="s">
        <v>529</v>
      </c>
      <c r="BF64" s="40" t="s">
        <v>601</v>
      </c>
      <c r="BG64" s="41" t="str">
        <f t="shared" si="8"/>
        <v>(CO) - EAGLE</v>
      </c>
      <c r="BH64" s="77">
        <v>636150</v>
      </c>
      <c r="BK64" s="37" t="s">
        <v>529</v>
      </c>
      <c r="BL64" s="38" t="s">
        <v>601</v>
      </c>
      <c r="BM64" s="43" t="str">
        <f t="shared" si="15"/>
        <v>(CO) - EAGLE</v>
      </c>
      <c r="BN64" s="76">
        <v>636150</v>
      </c>
      <c r="BQ64" s="38" t="s">
        <v>607</v>
      </c>
      <c r="BR64" s="37" t="s">
        <v>529</v>
      </c>
      <c r="BS64" s="78" t="str">
        <f t="shared" si="9"/>
        <v>(CO) - ELBERT</v>
      </c>
      <c r="BT64" s="79">
        <v>561200</v>
      </c>
      <c r="BW64" s="38" t="s">
        <v>626</v>
      </c>
      <c r="BX64" s="37" t="s">
        <v>529</v>
      </c>
      <c r="BY64" s="78" t="str">
        <f t="shared" si="10"/>
        <v xml:space="preserve">(CO) - GILPIN </v>
      </c>
      <c r="BZ64" s="80">
        <v>575000</v>
      </c>
      <c r="CC64" s="43" t="s">
        <v>563</v>
      </c>
      <c r="CD64" s="43" t="s">
        <v>621</v>
      </c>
      <c r="CE64" s="37" t="s">
        <v>529</v>
      </c>
      <c r="CF64" s="81" t="str">
        <f t="shared" si="16"/>
        <v>(CO) - GILPIN COUNTY</v>
      </c>
      <c r="CG64" s="59">
        <v>596850</v>
      </c>
      <c r="CH64" s="59"/>
      <c r="CI64" s="266" t="s">
        <v>627</v>
      </c>
      <c r="CJ64" s="267" t="s">
        <v>529</v>
      </c>
      <c r="CK64" s="268">
        <v>684250</v>
      </c>
      <c r="CM64" s="43" t="str">
        <f t="shared" si="18"/>
        <v>(CO) - JEFFERSON COUNTY</v>
      </c>
      <c r="CN64" s="269">
        <f t="shared" si="17"/>
        <v>684250</v>
      </c>
      <c r="CO64" s="269"/>
      <c r="CQ64" s="263" t="s">
        <v>627</v>
      </c>
      <c r="CR64" s="264" t="s">
        <v>529</v>
      </c>
      <c r="CS64" s="265">
        <v>787750</v>
      </c>
      <c r="CV64" s="43" t="str">
        <f t="shared" si="11"/>
        <v>(CO) - GILPIN COUNTY</v>
      </c>
      <c r="CW64" s="70">
        <f t="shared" si="12"/>
        <v>787750</v>
      </c>
    </row>
    <row r="65" spans="6:101" ht="15.75" thickBot="1" x14ac:dyDescent="0.3">
      <c r="F65" s="43" t="s">
        <v>628</v>
      </c>
      <c r="G65" s="58">
        <v>625500</v>
      </c>
      <c r="H65" s="58"/>
      <c r="I65" s="43" t="s">
        <v>610</v>
      </c>
      <c r="J65" s="68" t="s">
        <v>600</v>
      </c>
      <c r="K65" s="68" t="str">
        <f t="shared" si="2"/>
        <v xml:space="preserve">(HI ) - KAUAI </v>
      </c>
      <c r="L65" s="69">
        <v>625500</v>
      </c>
      <c r="M65" s="68" t="s">
        <v>586</v>
      </c>
      <c r="N65" s="58"/>
      <c r="R65" s="43" t="s">
        <v>617</v>
      </c>
      <c r="S65" s="43" t="s">
        <v>629</v>
      </c>
      <c r="T65" s="68" t="str">
        <f t="shared" si="3"/>
        <v xml:space="preserve">(MA) - MIDDLESEX </v>
      </c>
      <c r="U65" s="70">
        <v>460000</v>
      </c>
      <c r="Y65" s="43" t="s">
        <v>611</v>
      </c>
      <c r="Z65" s="43" t="s">
        <v>612</v>
      </c>
      <c r="AA65" s="68" t="str">
        <f t="shared" si="4"/>
        <v xml:space="preserve">(ID) - TETON </v>
      </c>
      <c r="AB65" s="59">
        <v>652500</v>
      </c>
      <c r="AF65" s="68" t="s">
        <v>611</v>
      </c>
      <c r="AG65" s="68" t="s">
        <v>612</v>
      </c>
      <c r="AH65" s="68" t="str">
        <f t="shared" si="5"/>
        <v xml:space="preserve">(ID) - TETON </v>
      </c>
      <c r="AI65" s="71">
        <v>635000</v>
      </c>
      <c r="AK65" s="85" t="s">
        <v>529</v>
      </c>
      <c r="AL65" s="86" t="s">
        <v>630</v>
      </c>
      <c r="AM65" s="74" t="str">
        <f t="shared" si="6"/>
        <v>(CO) - PARK</v>
      </c>
      <c r="AN65" s="87">
        <v>425000</v>
      </c>
      <c r="AP65" s="72" t="s">
        <v>529</v>
      </c>
      <c r="AQ65" s="73" t="s">
        <v>613</v>
      </c>
      <c r="AR65" s="74" t="str">
        <f t="shared" si="7"/>
        <v>(CO) - GARFIELD</v>
      </c>
      <c r="AS65" s="75">
        <v>781250</v>
      </c>
      <c r="AU65" s="35" t="s">
        <v>529</v>
      </c>
      <c r="AV65" s="36" t="s">
        <v>613</v>
      </c>
      <c r="AW65" s="74" t="str">
        <f t="shared" si="13"/>
        <v>(CO) - GARFIELD</v>
      </c>
      <c r="AX65" s="76">
        <v>625500</v>
      </c>
      <c r="AZ65" s="37" t="s">
        <v>529</v>
      </c>
      <c r="BA65" s="38" t="s">
        <v>613</v>
      </c>
      <c r="BB65" s="74" t="str">
        <f t="shared" si="14"/>
        <v>(CO) - GARFIELD</v>
      </c>
      <c r="BC65" s="76">
        <v>625500</v>
      </c>
      <c r="BE65" s="39" t="s">
        <v>529</v>
      </c>
      <c r="BF65" s="40" t="s">
        <v>607</v>
      </c>
      <c r="BG65" s="41" t="str">
        <f t="shared" si="8"/>
        <v>(CO) - ELBERT</v>
      </c>
      <c r="BH65" s="77">
        <v>493350</v>
      </c>
      <c r="BK65" s="37" t="s">
        <v>529</v>
      </c>
      <c r="BL65" s="38" t="s">
        <v>607</v>
      </c>
      <c r="BM65" s="43" t="str">
        <f t="shared" si="15"/>
        <v>(CO) - ELBERT</v>
      </c>
      <c r="BN65" s="76">
        <v>529000</v>
      </c>
      <c r="BQ65" s="38" t="s">
        <v>613</v>
      </c>
      <c r="BR65" s="37" t="s">
        <v>529</v>
      </c>
      <c r="BS65" s="78" t="str">
        <f t="shared" si="9"/>
        <v>(CO) - GARFIELD</v>
      </c>
      <c r="BT65" s="79">
        <v>718750</v>
      </c>
      <c r="BW65" s="38" t="s">
        <v>631</v>
      </c>
      <c r="BX65" s="37" t="s">
        <v>529</v>
      </c>
      <c r="BY65" s="78" t="str">
        <f t="shared" si="10"/>
        <v xml:space="preserve">(CO) - JEFFERSON </v>
      </c>
      <c r="BZ65" s="80">
        <v>575000</v>
      </c>
      <c r="CC65" s="43" t="s">
        <v>563</v>
      </c>
      <c r="CD65" s="43" t="s">
        <v>627</v>
      </c>
      <c r="CE65" s="37" t="s">
        <v>529</v>
      </c>
      <c r="CF65" s="81" t="str">
        <f t="shared" si="16"/>
        <v>(CO) - JEFFERSON COUNTY</v>
      </c>
      <c r="CG65" s="59">
        <v>596850</v>
      </c>
      <c r="CH65" s="59"/>
      <c r="CI65" s="263" t="s">
        <v>632</v>
      </c>
      <c r="CJ65" s="264" t="s">
        <v>529</v>
      </c>
      <c r="CK65" s="265">
        <v>684250</v>
      </c>
      <c r="CM65" s="43" t="str">
        <f t="shared" si="18"/>
        <v>(CO) - PARK COUNTY</v>
      </c>
      <c r="CN65" s="269">
        <f t="shared" si="17"/>
        <v>684250</v>
      </c>
      <c r="CO65" s="269"/>
      <c r="CQ65" s="266" t="s">
        <v>632</v>
      </c>
      <c r="CR65" s="267" t="s">
        <v>529</v>
      </c>
      <c r="CS65" s="268">
        <v>787750</v>
      </c>
      <c r="CV65" s="43" t="str">
        <f t="shared" si="11"/>
        <v>(CO) - JEFFERSON COUNTY</v>
      </c>
      <c r="CW65" s="70">
        <f t="shared" si="12"/>
        <v>787750</v>
      </c>
    </row>
    <row r="66" spans="6:101" ht="15.75" thickBot="1" x14ac:dyDescent="0.3">
      <c r="F66" s="43" t="s">
        <v>633</v>
      </c>
      <c r="G66" s="58">
        <v>625500</v>
      </c>
      <c r="H66" s="58"/>
      <c r="I66" s="43" t="s">
        <v>610</v>
      </c>
      <c r="J66" s="68" t="s">
        <v>606</v>
      </c>
      <c r="K66" s="68" t="str">
        <f t="shared" si="2"/>
        <v xml:space="preserve">(HI ) - MAUI </v>
      </c>
      <c r="L66" s="69">
        <v>625500</v>
      </c>
      <c r="M66" s="68" t="s">
        <v>586</v>
      </c>
      <c r="N66" s="58"/>
      <c r="R66" s="43" t="s">
        <v>617</v>
      </c>
      <c r="S66" s="43" t="s">
        <v>634</v>
      </c>
      <c r="T66" s="68" t="str">
        <f t="shared" si="3"/>
        <v xml:space="preserve">(MA) - NANTUCKET </v>
      </c>
      <c r="U66" s="70">
        <v>625500</v>
      </c>
      <c r="Y66" s="43" t="s">
        <v>617</v>
      </c>
      <c r="Z66" s="43" t="s">
        <v>635</v>
      </c>
      <c r="AA66" s="68" t="str">
        <f t="shared" si="4"/>
        <v xml:space="preserve">(MA) - BRISTOL </v>
      </c>
      <c r="AB66" s="59">
        <v>418750</v>
      </c>
      <c r="AF66" s="68" t="s">
        <v>617</v>
      </c>
      <c r="AG66" s="68" t="s">
        <v>618</v>
      </c>
      <c r="AH66" s="68" t="str">
        <f t="shared" si="5"/>
        <v xml:space="preserve">(MA) - DUKES </v>
      </c>
      <c r="AI66" s="71">
        <v>723750</v>
      </c>
      <c r="AK66" s="72" t="s">
        <v>529</v>
      </c>
      <c r="AL66" s="73" t="s">
        <v>636</v>
      </c>
      <c r="AM66" s="74" t="str">
        <f t="shared" si="6"/>
        <v>(CO) - PITKIN</v>
      </c>
      <c r="AN66" s="75">
        <v>781250</v>
      </c>
      <c r="AP66" s="72" t="s">
        <v>529</v>
      </c>
      <c r="AQ66" s="73" t="s">
        <v>619</v>
      </c>
      <c r="AR66" s="74" t="str">
        <f t="shared" si="7"/>
        <v>(CO) - GILPIN</v>
      </c>
      <c r="AS66" s="75">
        <v>425000</v>
      </c>
      <c r="AU66" s="35" t="s">
        <v>529</v>
      </c>
      <c r="AV66" s="36" t="s">
        <v>619</v>
      </c>
      <c r="AW66" s="74" t="str">
        <f t="shared" si="13"/>
        <v>(CO) - GILPIN</v>
      </c>
      <c r="AX66" s="76">
        <v>424350</v>
      </c>
      <c r="AZ66" s="37" t="s">
        <v>529</v>
      </c>
      <c r="BA66" s="38" t="s">
        <v>619</v>
      </c>
      <c r="BB66" s="74" t="str">
        <f t="shared" si="14"/>
        <v>(CO) - GILPIN</v>
      </c>
      <c r="BC66" s="76">
        <v>458850</v>
      </c>
      <c r="BE66" s="39" t="s">
        <v>529</v>
      </c>
      <c r="BF66" s="40" t="s">
        <v>613</v>
      </c>
      <c r="BG66" s="41" t="str">
        <f t="shared" si="8"/>
        <v>(CO) - GARFIELD</v>
      </c>
      <c r="BH66" s="77">
        <v>636150</v>
      </c>
      <c r="BK66" s="37" t="s">
        <v>529</v>
      </c>
      <c r="BL66" s="38" t="s">
        <v>613</v>
      </c>
      <c r="BM66" s="43" t="str">
        <f t="shared" si="15"/>
        <v>(CO) - GARFIELD</v>
      </c>
      <c r="BN66" s="76">
        <v>679650</v>
      </c>
      <c r="BQ66" s="38" t="s">
        <v>619</v>
      </c>
      <c r="BR66" s="37" t="s">
        <v>529</v>
      </c>
      <c r="BS66" s="78" t="str">
        <f t="shared" si="9"/>
        <v>(CO) - GILPIN</v>
      </c>
      <c r="BT66" s="79">
        <v>561200</v>
      </c>
      <c r="BW66" s="38" t="s">
        <v>534</v>
      </c>
      <c r="BX66" s="37" t="s">
        <v>529</v>
      </c>
      <c r="BY66" s="78" t="str">
        <f t="shared" si="10"/>
        <v xml:space="preserve">(CO) - LAKE </v>
      </c>
      <c r="BZ66" s="80">
        <v>625500</v>
      </c>
      <c r="CC66" s="43" t="s">
        <v>563</v>
      </c>
      <c r="CD66" s="43" t="s">
        <v>637</v>
      </c>
      <c r="CE66" s="37" t="s">
        <v>529</v>
      </c>
      <c r="CF66" s="81" t="str">
        <f t="shared" si="16"/>
        <v>(CO) - LAKE COUNTY</v>
      </c>
      <c r="CG66" s="59">
        <v>625500</v>
      </c>
      <c r="CH66" s="59"/>
      <c r="CI66" s="266" t="s">
        <v>638</v>
      </c>
      <c r="CJ66" s="267" t="s">
        <v>529</v>
      </c>
      <c r="CK66" s="268">
        <v>856750</v>
      </c>
      <c r="CM66" s="43" t="str">
        <f t="shared" si="18"/>
        <v>(CO) - PITKIN COUNTY</v>
      </c>
      <c r="CN66" s="269">
        <f t="shared" ref="CN66:CN97" si="19">CK66</f>
        <v>856750</v>
      </c>
      <c r="CO66" s="269"/>
      <c r="CQ66" s="263" t="s">
        <v>638</v>
      </c>
      <c r="CR66" s="264" t="s">
        <v>529</v>
      </c>
      <c r="CS66" s="265">
        <v>948750</v>
      </c>
      <c r="CV66" s="43" t="str">
        <f t="shared" si="11"/>
        <v>(CO) - PARK COUNTY</v>
      </c>
      <c r="CW66" s="70">
        <f t="shared" si="12"/>
        <v>787750</v>
      </c>
    </row>
    <row r="67" spans="6:101" ht="15.75" thickBot="1" x14ac:dyDescent="0.3">
      <c r="F67" s="43" t="s">
        <v>639</v>
      </c>
      <c r="G67" s="58">
        <v>625500</v>
      </c>
      <c r="H67" s="58"/>
      <c r="I67" s="43" t="s">
        <v>640</v>
      </c>
      <c r="J67" s="68" t="s">
        <v>624</v>
      </c>
      <c r="K67" s="68" t="str">
        <f t="shared" si="2"/>
        <v xml:space="preserve">(ID ) - BLAINE </v>
      </c>
      <c r="L67" s="69">
        <v>431250</v>
      </c>
      <c r="M67" s="68" t="s">
        <v>300</v>
      </c>
      <c r="N67" s="58"/>
      <c r="R67" s="43" t="s">
        <v>617</v>
      </c>
      <c r="S67" s="43" t="s">
        <v>641</v>
      </c>
      <c r="T67" s="68" t="str">
        <f t="shared" si="3"/>
        <v xml:space="preserve">(MA) - NORFOLK </v>
      </c>
      <c r="U67" s="70">
        <v>460000</v>
      </c>
      <c r="Y67" s="43" t="s">
        <v>617</v>
      </c>
      <c r="Z67" s="43" t="s">
        <v>618</v>
      </c>
      <c r="AA67" s="68" t="str">
        <f t="shared" si="4"/>
        <v xml:space="preserve">(MA) - DUKES </v>
      </c>
      <c r="AB67" s="59">
        <v>748750</v>
      </c>
      <c r="AF67" s="68" t="s">
        <v>617</v>
      </c>
      <c r="AG67" s="68" t="s">
        <v>623</v>
      </c>
      <c r="AH67" s="68" t="str">
        <f t="shared" si="5"/>
        <v xml:space="preserve">(MA) - ESSEX </v>
      </c>
      <c r="AI67" s="71">
        <v>500000</v>
      </c>
      <c r="AK67" s="72" t="s">
        <v>529</v>
      </c>
      <c r="AL67" s="73" t="s">
        <v>642</v>
      </c>
      <c r="AM67" s="74" t="str">
        <f t="shared" si="6"/>
        <v>(CO) - ROUTT</v>
      </c>
      <c r="AN67" s="75">
        <v>423750</v>
      </c>
      <c r="AP67" s="72" t="s">
        <v>529</v>
      </c>
      <c r="AQ67" s="73" t="s">
        <v>643</v>
      </c>
      <c r="AR67" s="74" t="str">
        <f t="shared" si="7"/>
        <v>(CO) - HINSDALE</v>
      </c>
      <c r="AS67" s="75">
        <v>427800</v>
      </c>
      <c r="AU67" s="35" t="s">
        <v>529</v>
      </c>
      <c r="AV67" s="36" t="s">
        <v>643</v>
      </c>
      <c r="AW67" s="74" t="str">
        <f t="shared" si="13"/>
        <v>(CO) - HINSDALE</v>
      </c>
      <c r="AX67" s="76">
        <v>427800</v>
      </c>
      <c r="AZ67" s="37" t="s">
        <v>529</v>
      </c>
      <c r="BA67" s="38" t="s">
        <v>643</v>
      </c>
      <c r="BB67" s="74" t="str">
        <f t="shared" si="14"/>
        <v>(CO) - HINSDALE</v>
      </c>
      <c r="BC67" s="76">
        <v>427800</v>
      </c>
      <c r="BE67" s="39" t="s">
        <v>529</v>
      </c>
      <c r="BF67" s="40" t="s">
        <v>619</v>
      </c>
      <c r="BG67" s="41" t="str">
        <f t="shared" si="8"/>
        <v>(CO) - GILPIN</v>
      </c>
      <c r="BH67" s="77">
        <v>493350</v>
      </c>
      <c r="BK67" s="37" t="s">
        <v>529</v>
      </c>
      <c r="BL67" s="38" t="s">
        <v>619</v>
      </c>
      <c r="BM67" s="43" t="str">
        <f t="shared" si="15"/>
        <v>(CO) - GILPIN</v>
      </c>
      <c r="BN67" s="76">
        <v>529000</v>
      </c>
      <c r="BQ67" s="38" t="s">
        <v>625</v>
      </c>
      <c r="BR67" s="37" t="s">
        <v>529</v>
      </c>
      <c r="BS67" s="78" t="str">
        <f t="shared" si="9"/>
        <v>(CO) - JEFFERSON</v>
      </c>
      <c r="BT67" s="79">
        <v>561200</v>
      </c>
      <c r="BW67" s="38" t="s">
        <v>644</v>
      </c>
      <c r="BX67" s="37" t="s">
        <v>529</v>
      </c>
      <c r="BY67" s="78" t="str">
        <f t="shared" si="10"/>
        <v xml:space="preserve">(CO) - PARK </v>
      </c>
      <c r="BZ67" s="80">
        <v>575000</v>
      </c>
      <c r="CC67" s="43" t="s">
        <v>563</v>
      </c>
      <c r="CD67" s="43" t="s">
        <v>632</v>
      </c>
      <c r="CE67" s="37" t="s">
        <v>529</v>
      </c>
      <c r="CF67" s="81" t="str">
        <f t="shared" ref="CF67:CF130" si="20">CONCATENATE("(",CE67,") - ",CD67)</f>
        <v>(CO) - PARK COUNTY</v>
      </c>
      <c r="CG67" s="59">
        <v>596850</v>
      </c>
      <c r="CH67" s="59"/>
      <c r="CI67" s="263" t="s">
        <v>645</v>
      </c>
      <c r="CJ67" s="264" t="s">
        <v>529</v>
      </c>
      <c r="CK67" s="265">
        <v>678500</v>
      </c>
      <c r="CM67" s="43" t="str">
        <f t="shared" ref="CM67:CM98" si="21">CONCATENATE("(",CJ67,") - ",CI67)</f>
        <v>(CO) - ROUTT COUNTY</v>
      </c>
      <c r="CN67" s="269">
        <f t="shared" si="19"/>
        <v>678500</v>
      </c>
      <c r="CO67" s="269"/>
      <c r="CQ67" s="266" t="s">
        <v>645</v>
      </c>
      <c r="CR67" s="267" t="s">
        <v>529</v>
      </c>
      <c r="CS67" s="268">
        <v>845250</v>
      </c>
      <c r="CV67" s="43" t="str">
        <f t="shared" si="11"/>
        <v>(CO) - PITKIN COUNTY</v>
      </c>
      <c r="CW67" s="70">
        <f t="shared" si="12"/>
        <v>948750</v>
      </c>
    </row>
    <row r="68" spans="6:101" ht="15.75" thickBot="1" x14ac:dyDescent="0.3">
      <c r="F68" s="43" t="s">
        <v>646</v>
      </c>
      <c r="G68" s="58">
        <v>703750</v>
      </c>
      <c r="H68" s="58"/>
      <c r="I68" s="43" t="s">
        <v>640</v>
      </c>
      <c r="J68" s="68" t="s">
        <v>612</v>
      </c>
      <c r="K68" s="68" t="str">
        <f t="shared" ref="K68:K131" si="22">CONCATENATE("(",I68,") - ",J68)</f>
        <v xml:space="preserve">(ID ) - TETON </v>
      </c>
      <c r="L68" s="69">
        <v>652500</v>
      </c>
      <c r="M68" s="68" t="s">
        <v>300</v>
      </c>
      <c r="N68" s="58"/>
      <c r="R68" s="43" t="s">
        <v>617</v>
      </c>
      <c r="S68" s="43" t="s">
        <v>647</v>
      </c>
      <c r="T68" s="68" t="str">
        <f t="shared" ref="T68:T131" si="23">CONCATENATE("(",R68,") - ",S68)</f>
        <v xml:space="preserve">(MA) - PLYMOUTH </v>
      </c>
      <c r="U68" s="70">
        <v>460000</v>
      </c>
      <c r="Y68" s="43" t="s">
        <v>617</v>
      </c>
      <c r="Z68" s="43" t="s">
        <v>623</v>
      </c>
      <c r="AA68" s="68" t="str">
        <f t="shared" ref="AA68:AA131" si="24">CONCATENATE("(",Y68,") - ",Z68)</f>
        <v xml:space="preserve">(MA) - ESSEX </v>
      </c>
      <c r="AB68" s="59">
        <v>500000</v>
      </c>
      <c r="AF68" s="68" t="s">
        <v>617</v>
      </c>
      <c r="AG68" s="68" t="s">
        <v>629</v>
      </c>
      <c r="AH68" s="68" t="str">
        <f t="shared" ref="AH68:AH131" si="25">CONCATENATE("(",AF68,") - ",AG68)</f>
        <v xml:space="preserve">(MA) - MIDDLESEX </v>
      </c>
      <c r="AI68" s="71">
        <v>500000</v>
      </c>
      <c r="AK68" s="72" t="s">
        <v>529</v>
      </c>
      <c r="AL68" s="73" t="s">
        <v>648</v>
      </c>
      <c r="AM68" s="74" t="str">
        <f t="shared" ref="AM68:AM131" si="26">CONCATENATE("(",AK68,") - ",AL68)</f>
        <v>(CO) - SUMMIT</v>
      </c>
      <c r="AN68" s="75">
        <v>462500</v>
      </c>
      <c r="AP68" s="72" t="s">
        <v>529</v>
      </c>
      <c r="AQ68" s="73" t="s">
        <v>625</v>
      </c>
      <c r="AR68" s="74" t="str">
        <f t="shared" si="7"/>
        <v>(CO) - JEFFERSON</v>
      </c>
      <c r="AS68" s="75">
        <v>425000</v>
      </c>
      <c r="AU68" s="35" t="s">
        <v>529</v>
      </c>
      <c r="AV68" s="36" t="s">
        <v>625</v>
      </c>
      <c r="AW68" s="74" t="str">
        <f t="shared" si="13"/>
        <v>(CO) - JEFFERSON</v>
      </c>
      <c r="AX68" s="76">
        <v>424350</v>
      </c>
      <c r="AZ68" s="37" t="s">
        <v>529</v>
      </c>
      <c r="BA68" s="38" t="s">
        <v>625</v>
      </c>
      <c r="BB68" s="74" t="str">
        <f t="shared" si="14"/>
        <v>(CO) - JEFFERSON</v>
      </c>
      <c r="BC68" s="76">
        <v>458850</v>
      </c>
      <c r="BE68" s="39" t="s">
        <v>529</v>
      </c>
      <c r="BF68" s="40" t="s">
        <v>643</v>
      </c>
      <c r="BG68" s="41" t="str">
        <f t="shared" ref="BG68:BG131" si="27">CONCATENATE("(",BE68,") - ",BF68)</f>
        <v>(CO) - HINSDALE</v>
      </c>
      <c r="BH68" s="77">
        <v>427800</v>
      </c>
      <c r="BK68" s="37" t="s">
        <v>529</v>
      </c>
      <c r="BL68" s="38" t="s">
        <v>625</v>
      </c>
      <c r="BM68" s="43" t="str">
        <f t="shared" si="15"/>
        <v>(CO) - JEFFERSON</v>
      </c>
      <c r="BN68" s="76">
        <v>529000</v>
      </c>
      <c r="BQ68" s="38" t="s">
        <v>649</v>
      </c>
      <c r="BR68" s="37" t="s">
        <v>529</v>
      </c>
      <c r="BS68" s="78" t="str">
        <f t="shared" ref="BS68:BS131" si="28">CONCATENATE("(",BR68,") - ",BQ68)</f>
        <v>(CO) - LAKE</v>
      </c>
      <c r="BT68" s="79">
        <v>625500</v>
      </c>
      <c r="BW68" s="38" t="s">
        <v>539</v>
      </c>
      <c r="BX68" s="37" t="s">
        <v>529</v>
      </c>
      <c r="BY68" s="78" t="str">
        <f t="shared" ref="BY68:BY131" si="29">CONCATENATE("(",BX68,") - ",BW68)</f>
        <v xml:space="preserve">(CO) - PITKIN </v>
      </c>
      <c r="BZ68" s="80">
        <v>765600</v>
      </c>
      <c r="CC68" s="43" t="s">
        <v>563</v>
      </c>
      <c r="CD68" s="43" t="s">
        <v>638</v>
      </c>
      <c r="CE68" s="37" t="s">
        <v>529</v>
      </c>
      <c r="CF68" s="81" t="str">
        <f t="shared" si="20"/>
        <v>(CO) - PITKIN COUNTY</v>
      </c>
      <c r="CG68" s="59">
        <v>765600</v>
      </c>
      <c r="CH68" s="59"/>
      <c r="CI68" s="266" t="s">
        <v>650</v>
      </c>
      <c r="CJ68" s="267" t="s">
        <v>529</v>
      </c>
      <c r="CK68" s="268">
        <v>756700</v>
      </c>
      <c r="CM68" s="43" t="str">
        <f t="shared" si="21"/>
        <v>(CO) - SAN MIGUEL COUNTY</v>
      </c>
      <c r="CN68" s="269">
        <f t="shared" si="19"/>
        <v>756700</v>
      </c>
      <c r="CO68" s="269"/>
      <c r="CQ68" s="263" t="s">
        <v>650</v>
      </c>
      <c r="CR68" s="264" t="s">
        <v>529</v>
      </c>
      <c r="CS68" s="265">
        <v>862500</v>
      </c>
      <c r="CV68" s="43" t="str">
        <f t="shared" ref="CV68:CV131" si="30">CONCATENATE("(",CR67,") - ",CQ67)</f>
        <v>(CO) - ROUTT COUNTY</v>
      </c>
      <c r="CW68" s="70">
        <f t="shared" ref="CW68:CW131" si="31">CS67</f>
        <v>845250</v>
      </c>
    </row>
    <row r="69" spans="6:101" ht="15.75" thickBot="1" x14ac:dyDescent="0.3">
      <c r="F69" s="43" t="s">
        <v>651</v>
      </c>
      <c r="G69" s="58">
        <v>606250</v>
      </c>
      <c r="H69" s="58"/>
      <c r="I69" s="43" t="s">
        <v>652</v>
      </c>
      <c r="J69" s="68" t="s">
        <v>653</v>
      </c>
      <c r="K69" s="68" t="str">
        <f t="shared" si="22"/>
        <v xml:space="preserve">(MA ) - BARNSTABLE </v>
      </c>
      <c r="L69" s="69">
        <v>418750</v>
      </c>
      <c r="M69" s="68" t="s">
        <v>585</v>
      </c>
      <c r="N69" s="58"/>
      <c r="R69" s="43" t="s">
        <v>617</v>
      </c>
      <c r="S69" s="43" t="s">
        <v>654</v>
      </c>
      <c r="T69" s="68" t="str">
        <f t="shared" si="23"/>
        <v xml:space="preserve">(MA) - SUFFOLK </v>
      </c>
      <c r="U69" s="70">
        <v>460000</v>
      </c>
      <c r="Y69" s="43" t="s">
        <v>617</v>
      </c>
      <c r="Z69" s="43" t="s">
        <v>629</v>
      </c>
      <c r="AA69" s="68" t="str">
        <f t="shared" si="24"/>
        <v xml:space="preserve">(MA) - MIDDLESEX </v>
      </c>
      <c r="AB69" s="59">
        <v>500000</v>
      </c>
      <c r="AF69" s="68" t="s">
        <v>617</v>
      </c>
      <c r="AG69" s="68" t="s">
        <v>634</v>
      </c>
      <c r="AH69" s="68" t="str">
        <f t="shared" si="25"/>
        <v xml:space="preserve">(MA) - NANTUCKET </v>
      </c>
      <c r="AI69" s="71">
        <v>1094625</v>
      </c>
      <c r="AK69" s="72" t="s">
        <v>559</v>
      </c>
      <c r="AL69" s="73" t="s">
        <v>655</v>
      </c>
      <c r="AM69" s="74" t="str">
        <f t="shared" si="26"/>
        <v>(CT) - FAIRFIELD</v>
      </c>
      <c r="AN69" s="75">
        <v>556250</v>
      </c>
      <c r="AP69" s="72" t="s">
        <v>529</v>
      </c>
      <c r="AQ69" s="73" t="s">
        <v>649</v>
      </c>
      <c r="AR69" s="74" t="str">
        <f t="shared" si="7"/>
        <v>(CO) - LAKE</v>
      </c>
      <c r="AS69" s="75">
        <v>625500</v>
      </c>
      <c r="AU69" s="35" t="s">
        <v>529</v>
      </c>
      <c r="AV69" s="36" t="s">
        <v>649</v>
      </c>
      <c r="AW69" s="74" t="str">
        <f t="shared" ref="AW69:AW132" si="32">CONCATENATE("(",AU69,") - ",AV69)</f>
        <v>(CO) - LAKE</v>
      </c>
      <c r="AX69" s="76">
        <v>625500</v>
      </c>
      <c r="AZ69" s="37" t="s">
        <v>529</v>
      </c>
      <c r="BA69" s="38" t="s">
        <v>649</v>
      </c>
      <c r="BB69" s="74" t="str">
        <f t="shared" ref="BB69:BB132" si="33">CONCATENATE("(",AZ69,") - ",BA69)</f>
        <v>(CO) - LAKE</v>
      </c>
      <c r="BC69" s="76">
        <v>625500</v>
      </c>
      <c r="BE69" s="39" t="s">
        <v>529</v>
      </c>
      <c r="BF69" s="40" t="s">
        <v>625</v>
      </c>
      <c r="BG69" s="41" t="str">
        <f t="shared" si="27"/>
        <v>(CO) - JEFFERSON</v>
      </c>
      <c r="BH69" s="77">
        <v>493350</v>
      </c>
      <c r="BK69" s="37" t="s">
        <v>529</v>
      </c>
      <c r="BL69" s="38" t="s">
        <v>649</v>
      </c>
      <c r="BM69" s="43" t="str">
        <f t="shared" ref="BM69:BM132" si="34">CONCATENATE("(",BK69,") - ",BL69)</f>
        <v>(CO) - LAKE</v>
      </c>
      <c r="BN69" s="76">
        <v>625500</v>
      </c>
      <c r="BQ69" s="38" t="s">
        <v>630</v>
      </c>
      <c r="BR69" s="37" t="s">
        <v>529</v>
      </c>
      <c r="BS69" s="78" t="str">
        <f t="shared" si="28"/>
        <v>(CO) - PARK</v>
      </c>
      <c r="BT69" s="79">
        <v>561200</v>
      </c>
      <c r="BW69" s="38" t="s">
        <v>545</v>
      </c>
      <c r="BX69" s="37" t="s">
        <v>529</v>
      </c>
      <c r="BY69" s="78" t="str">
        <f t="shared" si="29"/>
        <v xml:space="preserve">(CO) - ROUTT </v>
      </c>
      <c r="BZ69" s="80">
        <v>638250</v>
      </c>
      <c r="CC69" s="43" t="s">
        <v>563</v>
      </c>
      <c r="CD69" s="43" t="s">
        <v>645</v>
      </c>
      <c r="CE69" s="37" t="s">
        <v>529</v>
      </c>
      <c r="CF69" s="81" t="str">
        <f t="shared" si="20"/>
        <v>(CO) - ROUTT COUNTY</v>
      </c>
      <c r="CG69" s="59">
        <v>678500</v>
      </c>
      <c r="CH69" s="59"/>
      <c r="CI69" s="263" t="s">
        <v>656</v>
      </c>
      <c r="CJ69" s="264" t="s">
        <v>529</v>
      </c>
      <c r="CK69" s="265">
        <v>822375</v>
      </c>
      <c r="CM69" s="43" t="str">
        <f t="shared" si="21"/>
        <v>(CO) - SUMMIT COUNTY</v>
      </c>
      <c r="CN69" s="269">
        <f t="shared" si="19"/>
        <v>822375</v>
      </c>
      <c r="CO69" s="269"/>
      <c r="CQ69" s="266" t="s">
        <v>656</v>
      </c>
      <c r="CR69" s="267" t="s">
        <v>529</v>
      </c>
      <c r="CS69" s="268">
        <v>953350</v>
      </c>
      <c r="CV69" s="43" t="str">
        <f t="shared" si="30"/>
        <v>(CO) - SAN MIGUEL COUNTY</v>
      </c>
      <c r="CW69" s="70">
        <f t="shared" si="31"/>
        <v>862500</v>
      </c>
    </row>
    <row r="70" spans="6:101" ht="15.75" thickBot="1" x14ac:dyDescent="0.3">
      <c r="F70" s="43" t="s">
        <v>657</v>
      </c>
      <c r="G70" s="58">
        <v>475000</v>
      </c>
      <c r="H70" s="58"/>
      <c r="I70" s="43" t="s">
        <v>652</v>
      </c>
      <c r="J70" s="68" t="s">
        <v>618</v>
      </c>
      <c r="K70" s="68" t="str">
        <f t="shared" si="22"/>
        <v xml:space="preserve">(MA ) - DUKES </v>
      </c>
      <c r="L70" s="69">
        <v>782500</v>
      </c>
      <c r="M70" s="68" t="s">
        <v>585</v>
      </c>
      <c r="N70" s="58"/>
      <c r="R70" s="43" t="s">
        <v>658</v>
      </c>
      <c r="S70" s="43" t="s">
        <v>659</v>
      </c>
      <c r="T70" s="68" t="str">
        <f t="shared" si="23"/>
        <v xml:space="preserve">(MD) - ANNE ARUNDEL </v>
      </c>
      <c r="U70" s="70">
        <v>494500</v>
      </c>
      <c r="Y70" s="43" t="s">
        <v>617</v>
      </c>
      <c r="Z70" s="43" t="s">
        <v>634</v>
      </c>
      <c r="AA70" s="68" t="str">
        <f t="shared" si="24"/>
        <v xml:space="preserve">(MA) - NANTUCKET </v>
      </c>
      <c r="AB70" s="59">
        <v>1094625</v>
      </c>
      <c r="AF70" s="68" t="s">
        <v>617</v>
      </c>
      <c r="AG70" s="68" t="s">
        <v>641</v>
      </c>
      <c r="AH70" s="68" t="str">
        <f t="shared" si="25"/>
        <v xml:space="preserve">(MA) - NORFOLK </v>
      </c>
      <c r="AI70" s="71">
        <v>500000</v>
      </c>
      <c r="AK70" s="72" t="s">
        <v>566</v>
      </c>
      <c r="AL70" s="73" t="s">
        <v>660</v>
      </c>
      <c r="AM70" s="74" t="str">
        <f t="shared" si="26"/>
        <v>(DC) - DISTRICT OF COLUMBIA</v>
      </c>
      <c r="AN70" s="75">
        <v>692500</v>
      </c>
      <c r="AP70" s="72" t="s">
        <v>529</v>
      </c>
      <c r="AQ70" s="73" t="s">
        <v>661</v>
      </c>
      <c r="AR70" s="74" t="str">
        <f t="shared" si="7"/>
        <v>(CO) - OURAY</v>
      </c>
      <c r="AS70" s="75">
        <v>425500</v>
      </c>
      <c r="AU70" s="35" t="s">
        <v>529</v>
      </c>
      <c r="AV70" s="36" t="s">
        <v>661</v>
      </c>
      <c r="AW70" s="74" t="str">
        <f t="shared" si="32"/>
        <v>(CO) - OURAY</v>
      </c>
      <c r="AX70" s="76">
        <v>425500</v>
      </c>
      <c r="AZ70" s="37" t="s">
        <v>529</v>
      </c>
      <c r="BA70" s="38" t="s">
        <v>661</v>
      </c>
      <c r="BB70" s="74" t="str">
        <f t="shared" si="33"/>
        <v>(CO) - OURAY</v>
      </c>
      <c r="BC70" s="76">
        <v>425500</v>
      </c>
      <c r="BE70" s="39" t="s">
        <v>529</v>
      </c>
      <c r="BF70" s="40" t="s">
        <v>649</v>
      </c>
      <c r="BG70" s="41" t="str">
        <f t="shared" si="27"/>
        <v>(CO) - LAKE</v>
      </c>
      <c r="BH70" s="77">
        <v>625500</v>
      </c>
      <c r="BK70" s="37" t="s">
        <v>529</v>
      </c>
      <c r="BL70" s="38" t="s">
        <v>630</v>
      </c>
      <c r="BM70" s="43" t="str">
        <f t="shared" si="34"/>
        <v>(CO) - PARK</v>
      </c>
      <c r="BN70" s="76">
        <v>529000</v>
      </c>
      <c r="BQ70" s="38" t="s">
        <v>636</v>
      </c>
      <c r="BR70" s="37" t="s">
        <v>529</v>
      </c>
      <c r="BS70" s="78" t="str">
        <f t="shared" si="28"/>
        <v>(CO) - PITKIN</v>
      </c>
      <c r="BT70" s="79">
        <v>718750</v>
      </c>
      <c r="BW70" s="38" t="s">
        <v>549</v>
      </c>
      <c r="BX70" s="37" t="s">
        <v>529</v>
      </c>
      <c r="BY70" s="78" t="str">
        <f t="shared" si="29"/>
        <v xml:space="preserve">(CO) - SAN MIGUEL </v>
      </c>
      <c r="BZ70" s="80">
        <v>625500</v>
      </c>
      <c r="CC70" s="43" t="s">
        <v>563</v>
      </c>
      <c r="CD70" s="43" t="s">
        <v>650</v>
      </c>
      <c r="CE70" s="37" t="s">
        <v>529</v>
      </c>
      <c r="CF70" s="81" t="str">
        <f t="shared" si="20"/>
        <v>(CO) - SAN MIGUEL COUNTY</v>
      </c>
      <c r="CG70" s="59">
        <v>649750</v>
      </c>
      <c r="CH70" s="59"/>
      <c r="CI70" s="266" t="s">
        <v>662</v>
      </c>
      <c r="CJ70" s="267" t="s">
        <v>559</v>
      </c>
      <c r="CK70" s="268">
        <v>695750</v>
      </c>
      <c r="CM70" s="43" t="str">
        <f t="shared" si="21"/>
        <v>(CT) - FAIRFIELD COUNTY</v>
      </c>
      <c r="CN70" s="269">
        <f t="shared" si="19"/>
        <v>695750</v>
      </c>
      <c r="CO70" s="269"/>
      <c r="CQ70" s="263" t="s">
        <v>660</v>
      </c>
      <c r="CR70" s="264" t="s">
        <v>566</v>
      </c>
      <c r="CS70" s="265">
        <v>1089300</v>
      </c>
      <c r="CV70" s="43" t="str">
        <f t="shared" si="30"/>
        <v>(CO) - SUMMIT COUNTY</v>
      </c>
      <c r="CW70" s="70">
        <f t="shared" si="31"/>
        <v>953350</v>
      </c>
    </row>
    <row r="71" spans="6:101" ht="15.75" thickBot="1" x14ac:dyDescent="0.3">
      <c r="F71" s="43" t="s">
        <v>663</v>
      </c>
      <c r="G71" s="58">
        <v>475000</v>
      </c>
      <c r="H71" s="58"/>
      <c r="I71" s="43" t="s">
        <v>652</v>
      </c>
      <c r="J71" s="68" t="s">
        <v>623</v>
      </c>
      <c r="K71" s="68" t="str">
        <f t="shared" si="22"/>
        <v xml:space="preserve">(MA ) - ESSEX </v>
      </c>
      <c r="L71" s="69">
        <v>493750</v>
      </c>
      <c r="M71" s="68" t="s">
        <v>585</v>
      </c>
      <c r="N71" s="58"/>
      <c r="R71" s="43" t="s">
        <v>658</v>
      </c>
      <c r="S71" s="43" t="s">
        <v>664</v>
      </c>
      <c r="T71" s="68" t="str">
        <f t="shared" si="23"/>
        <v xml:space="preserve">(MD) - BALTIMORE </v>
      </c>
      <c r="U71" s="70">
        <v>494500</v>
      </c>
      <c r="Y71" s="43" t="s">
        <v>617</v>
      </c>
      <c r="Z71" s="43" t="s">
        <v>641</v>
      </c>
      <c r="AA71" s="68" t="str">
        <f t="shared" si="24"/>
        <v xml:space="preserve">(MA) - NORFOLK </v>
      </c>
      <c r="AB71" s="59">
        <v>500000</v>
      </c>
      <c r="AF71" s="68" t="s">
        <v>617</v>
      </c>
      <c r="AG71" s="68" t="s">
        <v>647</v>
      </c>
      <c r="AH71" s="68" t="str">
        <f t="shared" si="25"/>
        <v xml:space="preserve">(MA) - PLYMOUTH </v>
      </c>
      <c r="AI71" s="71">
        <v>500000</v>
      </c>
      <c r="AK71" s="85" t="s">
        <v>665</v>
      </c>
      <c r="AL71" s="86" t="s">
        <v>666</v>
      </c>
      <c r="AM71" s="74" t="str">
        <f t="shared" si="26"/>
        <v>(FL) - MONROE COUNTY</v>
      </c>
      <c r="AN71" s="87">
        <v>437500</v>
      </c>
      <c r="AP71" s="72" t="s">
        <v>529</v>
      </c>
      <c r="AQ71" s="73" t="s">
        <v>630</v>
      </c>
      <c r="AR71" s="74" t="str">
        <f t="shared" si="7"/>
        <v>(CO) - PARK</v>
      </c>
      <c r="AS71" s="75">
        <v>425000</v>
      </c>
      <c r="AU71" s="35" t="s">
        <v>529</v>
      </c>
      <c r="AV71" s="36" t="s">
        <v>630</v>
      </c>
      <c r="AW71" s="74" t="str">
        <f t="shared" si="32"/>
        <v>(CO) - PARK</v>
      </c>
      <c r="AX71" s="76">
        <v>424350</v>
      </c>
      <c r="AZ71" s="37" t="s">
        <v>529</v>
      </c>
      <c r="BA71" s="38" t="s">
        <v>630</v>
      </c>
      <c r="BB71" s="74" t="str">
        <f t="shared" si="33"/>
        <v>(CO) - PARK</v>
      </c>
      <c r="BC71" s="76">
        <v>458850</v>
      </c>
      <c r="BE71" s="39" t="s">
        <v>529</v>
      </c>
      <c r="BF71" s="40" t="s">
        <v>661</v>
      </c>
      <c r="BG71" s="41" t="str">
        <f t="shared" si="27"/>
        <v>(CO) - OURAY</v>
      </c>
      <c r="BH71" s="77">
        <v>425500</v>
      </c>
      <c r="BK71" s="37" t="s">
        <v>529</v>
      </c>
      <c r="BL71" s="38" t="s">
        <v>636</v>
      </c>
      <c r="BM71" s="43" t="str">
        <f t="shared" si="34"/>
        <v>(CO) - PITKIN</v>
      </c>
      <c r="BN71" s="76">
        <v>679650</v>
      </c>
      <c r="BQ71" s="38" t="s">
        <v>642</v>
      </c>
      <c r="BR71" s="37" t="s">
        <v>529</v>
      </c>
      <c r="BS71" s="78" t="str">
        <f t="shared" si="28"/>
        <v>(CO) - ROUTT</v>
      </c>
      <c r="BT71" s="79">
        <v>625500</v>
      </c>
      <c r="BW71" s="38" t="s">
        <v>554</v>
      </c>
      <c r="BX71" s="37" t="s">
        <v>529</v>
      </c>
      <c r="BY71" s="78" t="str">
        <f t="shared" si="29"/>
        <v xml:space="preserve">(CO) - SUMMIT </v>
      </c>
      <c r="BZ71" s="80">
        <v>625500</v>
      </c>
      <c r="CC71" s="43" t="s">
        <v>563</v>
      </c>
      <c r="CD71" s="43" t="s">
        <v>656</v>
      </c>
      <c r="CE71" s="37" t="s">
        <v>529</v>
      </c>
      <c r="CF71" s="81" t="str">
        <f t="shared" si="20"/>
        <v>(CO) - SUMMIT COUNTY</v>
      </c>
      <c r="CG71" s="59">
        <v>822375</v>
      </c>
      <c r="CH71" s="59"/>
      <c r="CI71" s="263" t="s">
        <v>660</v>
      </c>
      <c r="CJ71" s="264" t="s">
        <v>566</v>
      </c>
      <c r="CK71" s="265">
        <v>970800</v>
      </c>
      <c r="CM71" s="43" t="str">
        <f t="shared" si="21"/>
        <v>(DC) - DISTRICT OF COLUMBIA</v>
      </c>
      <c r="CN71" s="269">
        <f t="shared" si="19"/>
        <v>970800</v>
      </c>
      <c r="CO71" s="269"/>
      <c r="CQ71" s="266" t="s">
        <v>666</v>
      </c>
      <c r="CR71" s="267" t="s">
        <v>665</v>
      </c>
      <c r="CS71" s="268">
        <v>874000</v>
      </c>
      <c r="CV71" s="43" t="str">
        <f t="shared" si="30"/>
        <v>(DC) - DISTRICT OF COLUMBIA</v>
      </c>
      <c r="CW71" s="70">
        <f t="shared" si="31"/>
        <v>1089300</v>
      </c>
    </row>
    <row r="72" spans="6:101" ht="15.75" thickBot="1" x14ac:dyDescent="0.3">
      <c r="F72" s="43" t="s">
        <v>667</v>
      </c>
      <c r="G72" s="58">
        <v>1094625</v>
      </c>
      <c r="H72" s="58"/>
      <c r="I72" s="43" t="s">
        <v>652</v>
      </c>
      <c r="J72" s="68" t="s">
        <v>668</v>
      </c>
      <c r="K72" s="68" t="str">
        <f t="shared" si="22"/>
        <v>(MA ) - MIDDLESEX</v>
      </c>
      <c r="L72" s="69">
        <v>493750</v>
      </c>
      <c r="M72" s="68" t="s">
        <v>585</v>
      </c>
      <c r="N72" s="58"/>
      <c r="R72" s="43" t="s">
        <v>658</v>
      </c>
      <c r="S72" s="43" t="s">
        <v>669</v>
      </c>
      <c r="T72" s="68" t="str">
        <f t="shared" si="23"/>
        <v xml:space="preserve">(MD) - BALTIMORE CITY </v>
      </c>
      <c r="U72" s="70">
        <v>494500</v>
      </c>
      <c r="Y72" s="43" t="s">
        <v>617</v>
      </c>
      <c r="Z72" s="43" t="s">
        <v>647</v>
      </c>
      <c r="AA72" s="68" t="str">
        <f t="shared" si="24"/>
        <v xml:space="preserve">(MA) - PLYMOUTH </v>
      </c>
      <c r="AB72" s="59">
        <v>500000</v>
      </c>
      <c r="AF72" s="68" t="s">
        <v>617</v>
      </c>
      <c r="AG72" s="68" t="s">
        <v>654</v>
      </c>
      <c r="AH72" s="68" t="str">
        <f t="shared" si="25"/>
        <v xml:space="preserve">(MA) - SUFFOLK </v>
      </c>
      <c r="AI72" s="71">
        <v>500000</v>
      </c>
      <c r="AK72" s="72" t="s">
        <v>572</v>
      </c>
      <c r="AL72" s="73" t="s">
        <v>670</v>
      </c>
      <c r="AM72" s="74" t="str">
        <f t="shared" si="26"/>
        <v>(GU) - GUAM</v>
      </c>
      <c r="AN72" s="75">
        <v>625500</v>
      </c>
      <c r="AP72" s="72" t="s">
        <v>529</v>
      </c>
      <c r="AQ72" s="73" t="s">
        <v>636</v>
      </c>
      <c r="AR72" s="74" t="str">
        <f t="shared" si="7"/>
        <v>(CO) - PITKIN</v>
      </c>
      <c r="AS72" s="75">
        <v>781250</v>
      </c>
      <c r="AU72" s="35" t="s">
        <v>529</v>
      </c>
      <c r="AV72" s="36" t="s">
        <v>636</v>
      </c>
      <c r="AW72" s="74" t="str">
        <f t="shared" si="32"/>
        <v>(CO) - PITKIN</v>
      </c>
      <c r="AX72" s="76">
        <v>625500</v>
      </c>
      <c r="AZ72" s="37" t="s">
        <v>529</v>
      </c>
      <c r="BA72" s="38" t="s">
        <v>636</v>
      </c>
      <c r="BB72" s="74" t="str">
        <f t="shared" si="33"/>
        <v>(CO) - PITKIN</v>
      </c>
      <c r="BC72" s="76">
        <v>625500</v>
      </c>
      <c r="BE72" s="39" t="s">
        <v>529</v>
      </c>
      <c r="BF72" s="40" t="s">
        <v>630</v>
      </c>
      <c r="BG72" s="41" t="str">
        <f t="shared" si="27"/>
        <v>(CO) - PARK</v>
      </c>
      <c r="BH72" s="77">
        <v>493350</v>
      </c>
      <c r="BK72" s="37" t="s">
        <v>529</v>
      </c>
      <c r="BL72" s="38" t="s">
        <v>642</v>
      </c>
      <c r="BM72" s="43" t="str">
        <f t="shared" si="34"/>
        <v>(CO) - ROUTT</v>
      </c>
      <c r="BN72" s="76">
        <v>625500</v>
      </c>
      <c r="BQ72" s="38" t="s">
        <v>671</v>
      </c>
      <c r="BR72" s="37" t="s">
        <v>529</v>
      </c>
      <c r="BS72" s="78" t="str">
        <f t="shared" si="28"/>
        <v>(CO) - SAN MIGUEL</v>
      </c>
      <c r="BT72" s="79">
        <v>625500</v>
      </c>
      <c r="BW72" s="38" t="s">
        <v>560</v>
      </c>
      <c r="BX72" s="37" t="s">
        <v>559</v>
      </c>
      <c r="BY72" s="78" t="str">
        <f t="shared" si="29"/>
        <v xml:space="preserve">(CT) - FAIRFIELD </v>
      </c>
      <c r="BZ72" s="80">
        <v>601450</v>
      </c>
      <c r="CC72" s="43" t="s">
        <v>672</v>
      </c>
      <c r="CD72" s="43" t="s">
        <v>662</v>
      </c>
      <c r="CE72" s="37" t="s">
        <v>559</v>
      </c>
      <c r="CF72" s="81" t="str">
        <f t="shared" si="20"/>
        <v>(CT) - FAIRFIELD COUNTY</v>
      </c>
      <c r="CG72" s="59">
        <v>601450</v>
      </c>
      <c r="CH72" s="59"/>
      <c r="CI72" s="266" t="s">
        <v>666</v>
      </c>
      <c r="CJ72" s="267" t="s">
        <v>665</v>
      </c>
      <c r="CK72" s="268">
        <v>710700</v>
      </c>
      <c r="CM72" s="43" t="str">
        <f t="shared" si="21"/>
        <v>(FL) - MONROE COUNTY</v>
      </c>
      <c r="CN72" s="269">
        <f t="shared" si="19"/>
        <v>710700</v>
      </c>
      <c r="CO72" s="269"/>
      <c r="CQ72" s="263" t="s">
        <v>673</v>
      </c>
      <c r="CR72" s="264" t="s">
        <v>577</v>
      </c>
      <c r="CS72" s="265">
        <v>1089300</v>
      </c>
      <c r="CV72" s="43" t="str">
        <f t="shared" si="30"/>
        <v>(FL) - MONROE COUNTY</v>
      </c>
      <c r="CW72" s="70">
        <f t="shared" si="31"/>
        <v>874000</v>
      </c>
    </row>
    <row r="73" spans="6:101" ht="15.75" thickBot="1" x14ac:dyDescent="0.3">
      <c r="F73" s="43" t="s">
        <v>674</v>
      </c>
      <c r="G73" s="58">
        <v>475000</v>
      </c>
      <c r="H73" s="58"/>
      <c r="I73" s="43" t="s">
        <v>652</v>
      </c>
      <c r="J73" s="68" t="s">
        <v>634</v>
      </c>
      <c r="K73" s="68" t="str">
        <f t="shared" si="22"/>
        <v xml:space="preserve">(MA ) - NANTUCKET </v>
      </c>
      <c r="L73" s="69">
        <v>1094625</v>
      </c>
      <c r="M73" s="68" t="s">
        <v>585</v>
      </c>
      <c r="N73" s="58"/>
      <c r="R73" s="43" t="s">
        <v>658</v>
      </c>
      <c r="S73" s="43" t="s">
        <v>675</v>
      </c>
      <c r="T73" s="68" t="str">
        <f t="shared" si="23"/>
        <v xml:space="preserve">(MD) - CALVERT </v>
      </c>
      <c r="U73" s="70">
        <v>625500</v>
      </c>
      <c r="Y73" s="43" t="s">
        <v>617</v>
      </c>
      <c r="Z73" s="43" t="s">
        <v>654</v>
      </c>
      <c r="AA73" s="68" t="str">
        <f t="shared" si="24"/>
        <v xml:space="preserve">(MA) - SUFFOLK </v>
      </c>
      <c r="AB73" s="59">
        <v>500000</v>
      </c>
      <c r="AF73" s="68" t="s">
        <v>658</v>
      </c>
      <c r="AG73" s="68" t="s">
        <v>659</v>
      </c>
      <c r="AH73" s="68" t="str">
        <f t="shared" si="25"/>
        <v xml:space="preserve">(MD) - ANNE ARUNDEL </v>
      </c>
      <c r="AI73" s="71">
        <v>500000</v>
      </c>
      <c r="AK73" s="72" t="s">
        <v>577</v>
      </c>
      <c r="AL73" s="73" t="s">
        <v>676</v>
      </c>
      <c r="AM73" s="74" t="str">
        <f t="shared" si="26"/>
        <v>(HI) - HAWAII</v>
      </c>
      <c r="AN73" s="75">
        <v>625500</v>
      </c>
      <c r="AP73" s="72" t="s">
        <v>529</v>
      </c>
      <c r="AQ73" s="73" t="s">
        <v>642</v>
      </c>
      <c r="AR73" s="74" t="str">
        <f t="shared" si="7"/>
        <v>(CO) - ROUTT</v>
      </c>
      <c r="AS73" s="75">
        <v>625500</v>
      </c>
      <c r="AU73" s="35" t="s">
        <v>529</v>
      </c>
      <c r="AV73" s="36" t="s">
        <v>642</v>
      </c>
      <c r="AW73" s="74" t="str">
        <f t="shared" si="32"/>
        <v>(CO) - ROUTT</v>
      </c>
      <c r="AX73" s="76">
        <v>625500</v>
      </c>
      <c r="AZ73" s="37" t="s">
        <v>529</v>
      </c>
      <c r="BA73" s="38" t="s">
        <v>642</v>
      </c>
      <c r="BB73" s="74" t="str">
        <f t="shared" si="33"/>
        <v>(CO) - ROUTT</v>
      </c>
      <c r="BC73" s="76">
        <v>625500</v>
      </c>
      <c r="BE73" s="39" t="s">
        <v>529</v>
      </c>
      <c r="BF73" s="40" t="s">
        <v>636</v>
      </c>
      <c r="BG73" s="41" t="str">
        <f t="shared" si="27"/>
        <v>(CO) - PITKIN</v>
      </c>
      <c r="BH73" s="77">
        <v>636150</v>
      </c>
      <c r="BK73" s="37" t="s">
        <v>529</v>
      </c>
      <c r="BL73" s="38" t="s">
        <v>671</v>
      </c>
      <c r="BM73" s="43" t="str">
        <f t="shared" si="34"/>
        <v>(CO) - SAN MIGUEL</v>
      </c>
      <c r="BN73" s="76">
        <v>625500</v>
      </c>
      <c r="BQ73" s="38" t="s">
        <v>648</v>
      </c>
      <c r="BR73" s="37" t="s">
        <v>529</v>
      </c>
      <c r="BS73" s="78" t="str">
        <f t="shared" si="28"/>
        <v>(CO) - SUMMIT</v>
      </c>
      <c r="BT73" s="79">
        <v>625500</v>
      </c>
      <c r="BW73" s="38" t="s">
        <v>660</v>
      </c>
      <c r="BX73" s="37" t="s">
        <v>566</v>
      </c>
      <c r="BY73" s="78" t="str">
        <f t="shared" si="29"/>
        <v>(DC) - DISTRICT OF COLUMBIA</v>
      </c>
      <c r="BZ73" s="80">
        <v>765600</v>
      </c>
      <c r="CC73" s="43" t="s">
        <v>660</v>
      </c>
      <c r="CD73" s="43" t="s">
        <v>660</v>
      </c>
      <c r="CE73" s="37" t="s">
        <v>566</v>
      </c>
      <c r="CF73" s="81" t="str">
        <f t="shared" si="20"/>
        <v>(DC) - DISTRICT OF COLUMBIA</v>
      </c>
      <c r="CG73" s="59">
        <v>822375</v>
      </c>
      <c r="CH73" s="59"/>
      <c r="CI73" s="263" t="s">
        <v>673</v>
      </c>
      <c r="CJ73" s="264" t="s">
        <v>577</v>
      </c>
      <c r="CK73" s="265">
        <v>970800</v>
      </c>
      <c r="CM73" s="43" t="str">
        <f t="shared" si="21"/>
        <v>(HI) - HAWAII COUNTY</v>
      </c>
      <c r="CN73" s="269">
        <f t="shared" si="19"/>
        <v>970800</v>
      </c>
      <c r="CO73" s="269"/>
      <c r="CQ73" s="266" t="s">
        <v>677</v>
      </c>
      <c r="CR73" s="267" t="s">
        <v>577</v>
      </c>
      <c r="CS73" s="268">
        <v>1089300</v>
      </c>
      <c r="CV73" s="43" t="str">
        <f t="shared" si="30"/>
        <v>(HI) - HAWAII COUNTY</v>
      </c>
      <c r="CW73" s="70">
        <f t="shared" si="31"/>
        <v>1089300</v>
      </c>
    </row>
    <row r="74" spans="6:101" ht="15.75" thickBot="1" x14ac:dyDescent="0.3">
      <c r="F74" s="43" t="s">
        <v>678</v>
      </c>
      <c r="G74" s="58">
        <v>475000</v>
      </c>
      <c r="H74" s="58"/>
      <c r="I74" s="43" t="s">
        <v>652</v>
      </c>
      <c r="J74" s="68" t="s">
        <v>641</v>
      </c>
      <c r="K74" s="68" t="str">
        <f t="shared" si="22"/>
        <v xml:space="preserve">(MA ) - NORFOLK </v>
      </c>
      <c r="L74" s="69">
        <v>493750</v>
      </c>
      <c r="M74" s="68" t="s">
        <v>585</v>
      </c>
      <c r="N74" s="58"/>
      <c r="R74" s="43" t="s">
        <v>658</v>
      </c>
      <c r="S74" s="43" t="s">
        <v>679</v>
      </c>
      <c r="T74" s="68" t="str">
        <f t="shared" si="23"/>
        <v xml:space="preserve">(MD) - CARROLL </v>
      </c>
      <c r="U74" s="70">
        <v>478400</v>
      </c>
      <c r="Y74" s="43" t="s">
        <v>658</v>
      </c>
      <c r="Z74" s="43" t="s">
        <v>659</v>
      </c>
      <c r="AA74" s="68" t="str">
        <f t="shared" si="24"/>
        <v xml:space="preserve">(MD) - ANNE ARUNDEL </v>
      </c>
      <c r="AB74" s="59">
        <v>520000</v>
      </c>
      <c r="AF74" s="68" t="s">
        <v>658</v>
      </c>
      <c r="AG74" s="68" t="s">
        <v>664</v>
      </c>
      <c r="AH74" s="68" t="str">
        <f t="shared" si="25"/>
        <v xml:space="preserve">(MD) - BALTIMORE </v>
      </c>
      <c r="AI74" s="71">
        <v>500000</v>
      </c>
      <c r="AK74" s="72" t="s">
        <v>577</v>
      </c>
      <c r="AL74" s="73" t="s">
        <v>680</v>
      </c>
      <c r="AM74" s="74" t="str">
        <f t="shared" si="26"/>
        <v>(HI) - HONOLULU</v>
      </c>
      <c r="AN74" s="75">
        <v>625500</v>
      </c>
      <c r="AP74" s="72" t="s">
        <v>529</v>
      </c>
      <c r="AQ74" s="73" t="s">
        <v>671</v>
      </c>
      <c r="AR74" s="74" t="str">
        <f t="shared" si="7"/>
        <v>(CO) - SAN MIGUEL</v>
      </c>
      <c r="AS74" s="75">
        <v>625500</v>
      </c>
      <c r="AU74" s="35" t="s">
        <v>529</v>
      </c>
      <c r="AV74" s="36" t="s">
        <v>671</v>
      </c>
      <c r="AW74" s="74" t="str">
        <f t="shared" si="32"/>
        <v>(CO) - SAN MIGUEL</v>
      </c>
      <c r="AX74" s="76">
        <v>625500</v>
      </c>
      <c r="AZ74" s="37" t="s">
        <v>529</v>
      </c>
      <c r="BA74" s="38" t="s">
        <v>671</v>
      </c>
      <c r="BB74" s="74" t="str">
        <f t="shared" si="33"/>
        <v>(CO) - SAN MIGUEL</v>
      </c>
      <c r="BC74" s="76">
        <v>625500</v>
      </c>
      <c r="BE74" s="39" t="s">
        <v>529</v>
      </c>
      <c r="BF74" s="40" t="s">
        <v>642</v>
      </c>
      <c r="BG74" s="41" t="str">
        <f t="shared" si="27"/>
        <v>(CO) - ROUTT</v>
      </c>
      <c r="BH74" s="77">
        <v>625500</v>
      </c>
      <c r="BK74" s="37" t="s">
        <v>529</v>
      </c>
      <c r="BL74" s="38" t="s">
        <v>648</v>
      </c>
      <c r="BM74" s="43" t="str">
        <f t="shared" si="34"/>
        <v>(CO) - SUMMIT</v>
      </c>
      <c r="BN74" s="76">
        <v>625500</v>
      </c>
      <c r="BQ74" s="38" t="s">
        <v>655</v>
      </c>
      <c r="BR74" s="37" t="s">
        <v>559</v>
      </c>
      <c r="BS74" s="78" t="str">
        <f t="shared" si="28"/>
        <v>(CT) - FAIRFIELD</v>
      </c>
      <c r="BT74" s="79">
        <v>601450</v>
      </c>
      <c r="BW74" s="38" t="s">
        <v>598</v>
      </c>
      <c r="BX74" s="37" t="s">
        <v>665</v>
      </c>
      <c r="BY74" s="78" t="str">
        <f t="shared" si="29"/>
        <v xml:space="preserve">(FL) - MONROE </v>
      </c>
      <c r="BZ74" s="80">
        <v>552000</v>
      </c>
      <c r="CC74" s="43" t="s">
        <v>681</v>
      </c>
      <c r="CD74" s="43" t="s">
        <v>666</v>
      </c>
      <c r="CE74" s="37" t="s">
        <v>665</v>
      </c>
      <c r="CF74" s="81" t="str">
        <f t="shared" si="20"/>
        <v>(FL) - MONROE COUNTY</v>
      </c>
      <c r="CG74" s="59">
        <v>608350</v>
      </c>
      <c r="CH74" s="59"/>
      <c r="CI74" s="266" t="s">
        <v>677</v>
      </c>
      <c r="CJ74" s="267" t="s">
        <v>577</v>
      </c>
      <c r="CK74" s="268">
        <v>970800</v>
      </c>
      <c r="CM74" s="43" t="str">
        <f t="shared" si="21"/>
        <v>(HI) - HONOLULU COUNTY</v>
      </c>
      <c r="CN74" s="269">
        <f t="shared" si="19"/>
        <v>970800</v>
      </c>
      <c r="CO74" s="269"/>
      <c r="CQ74" s="263" t="s">
        <v>682</v>
      </c>
      <c r="CR74" s="264" t="s">
        <v>577</v>
      </c>
      <c r="CS74" s="265">
        <v>1089300</v>
      </c>
      <c r="CV74" s="43" t="str">
        <f t="shared" si="30"/>
        <v>(HI) - HONOLULU COUNTY</v>
      </c>
      <c r="CW74" s="70">
        <f t="shared" si="31"/>
        <v>1089300</v>
      </c>
    </row>
    <row r="75" spans="6:101" ht="15.75" thickBot="1" x14ac:dyDescent="0.3">
      <c r="F75" s="43" t="s">
        <v>683</v>
      </c>
      <c r="G75" s="58">
        <v>475000</v>
      </c>
      <c r="H75" s="58"/>
      <c r="I75" s="43" t="s">
        <v>652</v>
      </c>
      <c r="J75" s="68" t="s">
        <v>647</v>
      </c>
      <c r="K75" s="68" t="str">
        <f t="shared" si="22"/>
        <v xml:space="preserve">(MA ) - PLYMOUTH </v>
      </c>
      <c r="L75" s="69">
        <v>493750</v>
      </c>
      <c r="M75" s="68" t="s">
        <v>585</v>
      </c>
      <c r="N75" s="58"/>
      <c r="R75" s="43" t="s">
        <v>658</v>
      </c>
      <c r="S75" s="43" t="s">
        <v>684</v>
      </c>
      <c r="T75" s="68" t="str">
        <f t="shared" si="23"/>
        <v xml:space="preserve">(MD) - CHARLES </v>
      </c>
      <c r="U75" s="70">
        <v>625500</v>
      </c>
      <c r="Y75" s="43" t="s">
        <v>658</v>
      </c>
      <c r="Z75" s="43" t="s">
        <v>664</v>
      </c>
      <c r="AA75" s="68" t="str">
        <f t="shared" si="24"/>
        <v xml:space="preserve">(MD) - BALTIMORE </v>
      </c>
      <c r="AB75" s="59">
        <v>520000</v>
      </c>
      <c r="AF75" s="68" t="s">
        <v>658</v>
      </c>
      <c r="AG75" s="68" t="s">
        <v>669</v>
      </c>
      <c r="AH75" s="68" t="str">
        <f t="shared" si="25"/>
        <v xml:space="preserve">(MD) - BALTIMORE CITY </v>
      </c>
      <c r="AI75" s="71">
        <v>500000</v>
      </c>
      <c r="AK75" s="72" t="s">
        <v>577</v>
      </c>
      <c r="AL75" s="73" t="s">
        <v>685</v>
      </c>
      <c r="AM75" s="74" t="str">
        <f t="shared" si="26"/>
        <v>(HI) - KALAWAO</v>
      </c>
      <c r="AN75" s="75">
        <v>625500</v>
      </c>
      <c r="AP75" s="72" t="s">
        <v>529</v>
      </c>
      <c r="AQ75" s="73" t="s">
        <v>648</v>
      </c>
      <c r="AR75" s="74" t="str">
        <f t="shared" ref="AR75:AR151" si="35">CONCATENATE("(",AP75,") - ",AQ75)</f>
        <v>(CO) - SUMMIT</v>
      </c>
      <c r="AS75" s="75">
        <v>625500</v>
      </c>
      <c r="AU75" s="35" t="s">
        <v>529</v>
      </c>
      <c r="AV75" s="36" t="s">
        <v>648</v>
      </c>
      <c r="AW75" s="74" t="str">
        <f t="shared" si="32"/>
        <v>(CO) - SUMMIT</v>
      </c>
      <c r="AX75" s="76">
        <v>625500</v>
      </c>
      <c r="AZ75" s="37" t="s">
        <v>529</v>
      </c>
      <c r="BA75" s="38" t="s">
        <v>648</v>
      </c>
      <c r="BB75" s="74" t="str">
        <f t="shared" si="33"/>
        <v>(CO) - SUMMIT</v>
      </c>
      <c r="BC75" s="76">
        <v>625500</v>
      </c>
      <c r="BE75" s="39" t="s">
        <v>529</v>
      </c>
      <c r="BF75" s="40" t="s">
        <v>671</v>
      </c>
      <c r="BG75" s="41" t="str">
        <f t="shared" si="27"/>
        <v>(CO) - SAN MIGUEL</v>
      </c>
      <c r="BH75" s="77">
        <v>625500</v>
      </c>
      <c r="BK75" s="37" t="s">
        <v>559</v>
      </c>
      <c r="BL75" s="38" t="s">
        <v>655</v>
      </c>
      <c r="BM75" s="43" t="str">
        <f t="shared" si="34"/>
        <v>(CT) - FAIRFIELD</v>
      </c>
      <c r="BN75" s="76">
        <v>601450</v>
      </c>
      <c r="BQ75" s="38" t="s">
        <v>686</v>
      </c>
      <c r="BR75" s="37" t="s">
        <v>566</v>
      </c>
      <c r="BS75" s="78" t="str">
        <f t="shared" si="28"/>
        <v>(DC) - DISTRICT OF COL</v>
      </c>
      <c r="BT75" s="79">
        <v>726525</v>
      </c>
      <c r="BW75" s="38" t="s">
        <v>687</v>
      </c>
      <c r="BX75" s="37" t="s">
        <v>688</v>
      </c>
      <c r="BY75" s="78" t="str">
        <f t="shared" si="29"/>
        <v xml:space="preserve">(GA) - GREENE </v>
      </c>
      <c r="BZ75" s="80">
        <v>515200</v>
      </c>
      <c r="CC75" s="43" t="s">
        <v>676</v>
      </c>
      <c r="CD75" s="43" t="s">
        <v>673</v>
      </c>
      <c r="CE75" s="37" t="s">
        <v>577</v>
      </c>
      <c r="CF75" s="81" t="str">
        <f t="shared" si="20"/>
        <v>(HI) - HAWAII COUNTY</v>
      </c>
      <c r="CG75" s="59">
        <v>822375</v>
      </c>
      <c r="CH75" s="59"/>
      <c r="CI75" s="263" t="s">
        <v>682</v>
      </c>
      <c r="CJ75" s="264" t="s">
        <v>577</v>
      </c>
      <c r="CK75" s="265">
        <v>970800</v>
      </c>
      <c r="CM75" s="43" t="str">
        <f t="shared" si="21"/>
        <v>(HI) - KALAWAO COUNTY</v>
      </c>
      <c r="CN75" s="269">
        <f t="shared" si="19"/>
        <v>970800</v>
      </c>
      <c r="CO75" s="269"/>
      <c r="CQ75" s="266" t="s">
        <v>689</v>
      </c>
      <c r="CR75" s="267" t="s">
        <v>577</v>
      </c>
      <c r="CS75" s="268">
        <v>1089300</v>
      </c>
      <c r="CV75" s="43" t="str">
        <f t="shared" si="30"/>
        <v>(HI) - KALAWAO COUNTY</v>
      </c>
      <c r="CW75" s="70">
        <f t="shared" si="31"/>
        <v>1089300</v>
      </c>
    </row>
    <row r="76" spans="6:101" ht="15.75" thickBot="1" x14ac:dyDescent="0.3">
      <c r="F76" s="43" t="s">
        <v>690</v>
      </c>
      <c r="G76" s="58">
        <v>487500</v>
      </c>
      <c r="H76" s="58"/>
      <c r="I76" s="43" t="s">
        <v>652</v>
      </c>
      <c r="J76" s="68" t="s">
        <v>654</v>
      </c>
      <c r="K76" s="68" t="str">
        <f t="shared" si="22"/>
        <v xml:space="preserve">(MA ) - SUFFOLK </v>
      </c>
      <c r="L76" s="69">
        <v>493750</v>
      </c>
      <c r="M76" s="68" t="s">
        <v>585</v>
      </c>
      <c r="N76" s="58"/>
      <c r="R76" s="43" t="s">
        <v>658</v>
      </c>
      <c r="S76" s="43" t="s">
        <v>691</v>
      </c>
      <c r="T76" s="68" t="str">
        <f t="shared" si="23"/>
        <v xml:space="preserve">(MD) - FREDERICK </v>
      </c>
      <c r="U76" s="70">
        <v>625500</v>
      </c>
      <c r="Y76" s="43" t="s">
        <v>658</v>
      </c>
      <c r="Z76" s="43" t="s">
        <v>669</v>
      </c>
      <c r="AA76" s="68" t="str">
        <f t="shared" si="24"/>
        <v xml:space="preserve">(MD) - BALTIMORE CITY </v>
      </c>
      <c r="AB76" s="59">
        <v>520000</v>
      </c>
      <c r="AF76" s="68" t="s">
        <v>658</v>
      </c>
      <c r="AG76" s="68" t="s">
        <v>675</v>
      </c>
      <c r="AH76" s="68" t="str">
        <f t="shared" si="25"/>
        <v xml:space="preserve">(MD) - CALVERT </v>
      </c>
      <c r="AI76" s="71">
        <v>843750</v>
      </c>
      <c r="AK76" s="72" t="s">
        <v>577</v>
      </c>
      <c r="AL76" s="73" t="s">
        <v>692</v>
      </c>
      <c r="AM76" s="74" t="str">
        <f t="shared" si="26"/>
        <v>(HI) - KAUAI</v>
      </c>
      <c r="AN76" s="75">
        <v>625500</v>
      </c>
      <c r="AP76" s="72" t="s">
        <v>559</v>
      </c>
      <c r="AQ76" s="73" t="s">
        <v>655</v>
      </c>
      <c r="AR76" s="74" t="str">
        <f t="shared" si="35"/>
        <v>(CT) - FAIRFIELD</v>
      </c>
      <c r="AS76" s="75">
        <v>601450</v>
      </c>
      <c r="AU76" s="35" t="s">
        <v>559</v>
      </c>
      <c r="AV76" s="36" t="s">
        <v>655</v>
      </c>
      <c r="AW76" s="74" t="str">
        <f t="shared" si="32"/>
        <v>(CT) - FAIRFIELD</v>
      </c>
      <c r="AX76" s="76">
        <v>601450</v>
      </c>
      <c r="AZ76" s="37" t="s">
        <v>559</v>
      </c>
      <c r="BA76" s="38" t="s">
        <v>655</v>
      </c>
      <c r="BB76" s="74" t="str">
        <f t="shared" si="33"/>
        <v>(CT) - FAIRFIELD</v>
      </c>
      <c r="BC76" s="76">
        <v>601450</v>
      </c>
      <c r="BE76" s="39" t="s">
        <v>529</v>
      </c>
      <c r="BF76" s="40" t="s">
        <v>648</v>
      </c>
      <c r="BG76" s="41" t="str">
        <f t="shared" si="27"/>
        <v>(CO) - SUMMIT</v>
      </c>
      <c r="BH76" s="77">
        <v>625500</v>
      </c>
      <c r="BK76" s="37" t="s">
        <v>566</v>
      </c>
      <c r="BL76" s="38" t="s">
        <v>686</v>
      </c>
      <c r="BM76" s="43" t="str">
        <f t="shared" si="34"/>
        <v>(DC) - DISTRICT OF COL</v>
      </c>
      <c r="BN76" s="76">
        <v>679650</v>
      </c>
      <c r="BQ76" s="38" t="s">
        <v>693</v>
      </c>
      <c r="BR76" s="37" t="s">
        <v>665</v>
      </c>
      <c r="BS76" s="78" t="str">
        <f t="shared" si="28"/>
        <v>(FL) - MONROE</v>
      </c>
      <c r="BT76" s="79">
        <v>529000</v>
      </c>
      <c r="BW76" s="38" t="s">
        <v>578</v>
      </c>
      <c r="BX76" s="37" t="s">
        <v>577</v>
      </c>
      <c r="BY76" s="78" t="str">
        <f t="shared" si="29"/>
        <v xml:space="preserve">(HI) - HAWAII </v>
      </c>
      <c r="BZ76" s="80">
        <v>765600</v>
      </c>
      <c r="CC76" s="43" t="s">
        <v>676</v>
      </c>
      <c r="CD76" s="43" t="s">
        <v>677</v>
      </c>
      <c r="CE76" s="37" t="s">
        <v>577</v>
      </c>
      <c r="CF76" s="81" t="str">
        <f t="shared" si="20"/>
        <v>(HI) - HONOLULU COUNTY</v>
      </c>
      <c r="CG76" s="59">
        <v>822375</v>
      </c>
      <c r="CH76" s="59"/>
      <c r="CI76" s="266" t="s">
        <v>689</v>
      </c>
      <c r="CJ76" s="267" t="s">
        <v>577</v>
      </c>
      <c r="CK76" s="268">
        <v>970800</v>
      </c>
      <c r="CM76" s="43" t="str">
        <f t="shared" si="21"/>
        <v>(HI) - KAUAI COUNTY</v>
      </c>
      <c r="CN76" s="269">
        <f t="shared" si="19"/>
        <v>970800</v>
      </c>
      <c r="CO76" s="269"/>
      <c r="CQ76" s="263" t="s">
        <v>694</v>
      </c>
      <c r="CR76" s="264" t="s">
        <v>577</v>
      </c>
      <c r="CS76" s="265">
        <v>1089300</v>
      </c>
      <c r="CV76" s="43" t="str">
        <f t="shared" si="30"/>
        <v>(HI) - KAUAI COUNTY</v>
      </c>
      <c r="CW76" s="70">
        <f t="shared" si="31"/>
        <v>1089300</v>
      </c>
    </row>
    <row r="77" spans="6:101" ht="15.75" thickBot="1" x14ac:dyDescent="0.3">
      <c r="F77" s="43" t="s">
        <v>695</v>
      </c>
      <c r="G77" s="58">
        <v>487500</v>
      </c>
      <c r="H77" s="58"/>
      <c r="I77" s="43" t="s">
        <v>696</v>
      </c>
      <c r="J77" s="68" t="s">
        <v>659</v>
      </c>
      <c r="K77" s="68" t="str">
        <f t="shared" si="22"/>
        <v xml:space="preserve">(MD ) - ANNE ARUNDEL </v>
      </c>
      <c r="L77" s="69">
        <v>500000</v>
      </c>
      <c r="M77" s="68" t="s">
        <v>592</v>
      </c>
      <c r="N77" s="58"/>
      <c r="R77" s="43" t="s">
        <v>658</v>
      </c>
      <c r="S77" s="43" t="s">
        <v>697</v>
      </c>
      <c r="T77" s="68" t="str">
        <f t="shared" si="23"/>
        <v xml:space="preserve">(MD) - HARFORD </v>
      </c>
      <c r="U77" s="70">
        <v>478400</v>
      </c>
      <c r="Y77" s="43" t="s">
        <v>658</v>
      </c>
      <c r="Z77" s="43" t="s">
        <v>675</v>
      </c>
      <c r="AA77" s="68" t="str">
        <f t="shared" si="24"/>
        <v xml:space="preserve">(MD) - CALVERT </v>
      </c>
      <c r="AB77" s="59">
        <v>838750</v>
      </c>
      <c r="AF77" s="68" t="s">
        <v>658</v>
      </c>
      <c r="AG77" s="68" t="s">
        <v>679</v>
      </c>
      <c r="AH77" s="68" t="str">
        <f t="shared" si="25"/>
        <v xml:space="preserve">(MD) - CARROLL </v>
      </c>
      <c r="AI77" s="71">
        <v>500000</v>
      </c>
      <c r="AK77" s="72" t="s">
        <v>577</v>
      </c>
      <c r="AL77" s="73" t="s">
        <v>698</v>
      </c>
      <c r="AM77" s="74" t="str">
        <f t="shared" si="26"/>
        <v>(HI) - MAUI</v>
      </c>
      <c r="AN77" s="75">
        <v>625500</v>
      </c>
      <c r="AP77" s="72" t="s">
        <v>566</v>
      </c>
      <c r="AQ77" s="73" t="s">
        <v>660</v>
      </c>
      <c r="AR77" s="74" t="str">
        <f t="shared" si="35"/>
        <v>(DC) - DISTRICT OF COLUMBIA</v>
      </c>
      <c r="AS77" s="75">
        <v>692500</v>
      </c>
      <c r="AU77" s="35" t="s">
        <v>566</v>
      </c>
      <c r="AV77" s="36" t="s">
        <v>686</v>
      </c>
      <c r="AW77" s="74" t="str">
        <f t="shared" si="32"/>
        <v>(DC) - DISTRICT OF COL</v>
      </c>
      <c r="AX77" s="76">
        <v>625500</v>
      </c>
      <c r="AZ77" s="37" t="s">
        <v>566</v>
      </c>
      <c r="BA77" s="38" t="s">
        <v>686</v>
      </c>
      <c r="BB77" s="74" t="str">
        <f t="shared" si="33"/>
        <v>(DC) - DISTRICT OF COL</v>
      </c>
      <c r="BC77" s="76">
        <v>625500</v>
      </c>
      <c r="BE77" s="39" t="s">
        <v>559</v>
      </c>
      <c r="BF77" s="40" t="s">
        <v>655</v>
      </c>
      <c r="BG77" s="41" t="str">
        <f t="shared" si="27"/>
        <v>(CT) - FAIRFIELD</v>
      </c>
      <c r="BH77" s="77">
        <v>601450</v>
      </c>
      <c r="BK77" s="37" t="s">
        <v>665</v>
      </c>
      <c r="BL77" s="38" t="s">
        <v>693</v>
      </c>
      <c r="BM77" s="43" t="str">
        <f t="shared" si="34"/>
        <v>(FL) - MONROE</v>
      </c>
      <c r="BN77" s="76">
        <v>529000</v>
      </c>
      <c r="BQ77" s="38" t="s">
        <v>699</v>
      </c>
      <c r="BR77" s="37" t="s">
        <v>688</v>
      </c>
      <c r="BS77" s="78" t="str">
        <f t="shared" si="28"/>
        <v>(GA) - GREENE</v>
      </c>
      <c r="BT77" s="79">
        <v>515200</v>
      </c>
      <c r="BW77" s="38" t="s">
        <v>586</v>
      </c>
      <c r="BX77" s="37" t="s">
        <v>577</v>
      </c>
      <c r="BY77" s="78" t="str">
        <f t="shared" si="29"/>
        <v xml:space="preserve">(HI) - HONOLULU </v>
      </c>
      <c r="BZ77" s="80">
        <v>765600</v>
      </c>
      <c r="CC77" s="43" t="s">
        <v>676</v>
      </c>
      <c r="CD77" s="43" t="s">
        <v>682</v>
      </c>
      <c r="CE77" s="37" t="s">
        <v>577</v>
      </c>
      <c r="CF77" s="81" t="str">
        <f t="shared" si="20"/>
        <v>(HI) - KALAWAO COUNTY</v>
      </c>
      <c r="CG77" s="59">
        <v>822375</v>
      </c>
      <c r="CH77" s="59"/>
      <c r="CI77" s="263" t="s">
        <v>694</v>
      </c>
      <c r="CJ77" s="264" t="s">
        <v>577</v>
      </c>
      <c r="CK77" s="265">
        <v>970800</v>
      </c>
      <c r="CM77" s="43" t="str">
        <f t="shared" si="21"/>
        <v>(HI) - MAUI COUNTY</v>
      </c>
      <c r="CN77" s="269">
        <f t="shared" si="19"/>
        <v>970800</v>
      </c>
      <c r="CO77" s="269"/>
      <c r="CQ77" s="266" t="s">
        <v>700</v>
      </c>
      <c r="CR77" s="267" t="s">
        <v>611</v>
      </c>
      <c r="CS77" s="268">
        <v>740600</v>
      </c>
      <c r="CV77" s="43" t="str">
        <f t="shared" si="30"/>
        <v>(HI) - MAUI COUNTY</v>
      </c>
      <c r="CW77" s="70">
        <f t="shared" si="31"/>
        <v>1089300</v>
      </c>
    </row>
    <row r="78" spans="6:101" ht="15.75" thickBot="1" x14ac:dyDescent="0.3">
      <c r="F78" s="43" t="s">
        <v>701</v>
      </c>
      <c r="G78" s="58">
        <v>487500</v>
      </c>
      <c r="H78" s="58"/>
      <c r="I78" s="43" t="s">
        <v>696</v>
      </c>
      <c r="J78" s="68" t="s">
        <v>702</v>
      </c>
      <c r="K78" s="68" t="str">
        <f t="shared" si="22"/>
        <v>(MD ) - BALTIMORE</v>
      </c>
      <c r="L78" s="69">
        <v>500000</v>
      </c>
      <c r="M78" s="68" t="s">
        <v>592</v>
      </c>
      <c r="N78" s="58"/>
      <c r="R78" s="43" t="s">
        <v>658</v>
      </c>
      <c r="S78" s="43" t="s">
        <v>703</v>
      </c>
      <c r="T78" s="68" t="str">
        <f t="shared" si="23"/>
        <v xml:space="preserve">(MD) - HOWARD </v>
      </c>
      <c r="U78" s="70">
        <v>478400</v>
      </c>
      <c r="Y78" s="43" t="s">
        <v>658</v>
      </c>
      <c r="Z78" s="43" t="s">
        <v>679</v>
      </c>
      <c r="AA78" s="68" t="str">
        <f t="shared" si="24"/>
        <v xml:space="preserve">(MD) - CARROLL </v>
      </c>
      <c r="AB78" s="59">
        <v>520000</v>
      </c>
      <c r="AF78" s="68" t="s">
        <v>658</v>
      </c>
      <c r="AG78" s="68" t="s">
        <v>684</v>
      </c>
      <c r="AH78" s="68" t="str">
        <f t="shared" si="25"/>
        <v xml:space="preserve">(MD) - CHARLES </v>
      </c>
      <c r="AI78" s="71">
        <v>843750</v>
      </c>
      <c r="AK78" s="72" t="s">
        <v>611</v>
      </c>
      <c r="AL78" s="73" t="s">
        <v>704</v>
      </c>
      <c r="AM78" s="74" t="str">
        <f t="shared" si="26"/>
        <v>(ID) - TETON COUNTY</v>
      </c>
      <c r="AN78" s="75">
        <v>630000</v>
      </c>
      <c r="AP78" s="72" t="s">
        <v>665</v>
      </c>
      <c r="AQ78" s="73" t="s">
        <v>705</v>
      </c>
      <c r="AR78" s="74" t="str">
        <f t="shared" si="35"/>
        <v>(FL) - COLLIER</v>
      </c>
      <c r="AS78" s="75">
        <v>448500</v>
      </c>
      <c r="AU78" s="35" t="s">
        <v>665</v>
      </c>
      <c r="AV78" s="36" t="s">
        <v>705</v>
      </c>
      <c r="AW78" s="74" t="str">
        <f t="shared" si="32"/>
        <v>(FL) - COLLIER</v>
      </c>
      <c r="AX78" s="76">
        <v>448500</v>
      </c>
      <c r="AZ78" s="37" t="s">
        <v>665</v>
      </c>
      <c r="BA78" s="38" t="s">
        <v>705</v>
      </c>
      <c r="BB78" s="74" t="str">
        <f t="shared" si="33"/>
        <v>(FL) - COLLIER</v>
      </c>
      <c r="BC78" s="76">
        <v>448500</v>
      </c>
      <c r="BE78" s="39" t="s">
        <v>566</v>
      </c>
      <c r="BF78" s="40" t="s">
        <v>686</v>
      </c>
      <c r="BG78" s="41" t="str">
        <f t="shared" si="27"/>
        <v>(DC) - DISTRICT OF COL</v>
      </c>
      <c r="BH78" s="77">
        <v>636150</v>
      </c>
      <c r="BK78" s="37" t="s">
        <v>688</v>
      </c>
      <c r="BL78" s="38" t="s">
        <v>699</v>
      </c>
      <c r="BM78" s="43" t="str">
        <f t="shared" si="34"/>
        <v>(GA) - GREENE</v>
      </c>
      <c r="BN78" s="76">
        <v>515200</v>
      </c>
      <c r="BQ78" s="38" t="s">
        <v>676</v>
      </c>
      <c r="BR78" s="37" t="s">
        <v>577</v>
      </c>
      <c r="BS78" s="78" t="str">
        <f t="shared" si="28"/>
        <v>(HI) - HAWAII</v>
      </c>
      <c r="BT78" s="79">
        <v>726525</v>
      </c>
      <c r="BW78" s="38" t="s">
        <v>593</v>
      </c>
      <c r="BX78" s="37" t="s">
        <v>577</v>
      </c>
      <c r="BY78" s="78" t="str">
        <f t="shared" si="29"/>
        <v xml:space="preserve">(HI) - KALAWAO </v>
      </c>
      <c r="BZ78" s="80">
        <v>765600</v>
      </c>
      <c r="CC78" s="43" t="s">
        <v>676</v>
      </c>
      <c r="CD78" s="43" t="s">
        <v>689</v>
      </c>
      <c r="CE78" s="37" t="s">
        <v>577</v>
      </c>
      <c r="CF78" s="81" t="str">
        <f t="shared" si="20"/>
        <v>(HI) - KAUAI COUNTY</v>
      </c>
      <c r="CG78" s="59">
        <v>822375</v>
      </c>
      <c r="CH78" s="59"/>
      <c r="CI78" s="266" t="s">
        <v>700</v>
      </c>
      <c r="CJ78" s="267" t="s">
        <v>611</v>
      </c>
      <c r="CK78" s="268">
        <v>648600</v>
      </c>
      <c r="CM78" s="43" t="str">
        <f t="shared" si="21"/>
        <v>(ID) - BLAINE COUNTY</v>
      </c>
      <c r="CN78" s="269">
        <f t="shared" si="19"/>
        <v>648600</v>
      </c>
      <c r="CO78" s="269"/>
      <c r="CQ78" s="263" t="s">
        <v>706</v>
      </c>
      <c r="CR78" s="264" t="s">
        <v>611</v>
      </c>
      <c r="CS78" s="265">
        <v>740600</v>
      </c>
      <c r="CV78" s="43" t="str">
        <f t="shared" si="30"/>
        <v>(ID) - BLAINE COUNTY</v>
      </c>
      <c r="CW78" s="70">
        <f t="shared" si="31"/>
        <v>740600</v>
      </c>
    </row>
    <row r="79" spans="6:101" ht="15.75" thickBot="1" x14ac:dyDescent="0.3">
      <c r="F79" s="43" t="s">
        <v>707</v>
      </c>
      <c r="G79" s="58">
        <v>768750</v>
      </c>
      <c r="H79" s="58"/>
      <c r="I79" s="43" t="s">
        <v>696</v>
      </c>
      <c r="J79" s="68" t="s">
        <v>669</v>
      </c>
      <c r="K79" s="68" t="str">
        <f t="shared" si="22"/>
        <v xml:space="preserve">(MD ) - BALTIMORE CITY </v>
      </c>
      <c r="L79" s="69">
        <v>500000</v>
      </c>
      <c r="M79" s="68" t="s">
        <v>592</v>
      </c>
      <c r="N79" s="58"/>
      <c r="R79" s="43" t="s">
        <v>658</v>
      </c>
      <c r="S79" s="43" t="s">
        <v>708</v>
      </c>
      <c r="T79" s="68" t="str">
        <f t="shared" si="23"/>
        <v xml:space="preserve">(MD) - MONTGOMERY </v>
      </c>
      <c r="U79" s="70">
        <v>625500</v>
      </c>
      <c r="Y79" s="43" t="s">
        <v>658</v>
      </c>
      <c r="Z79" s="43" t="s">
        <v>684</v>
      </c>
      <c r="AA79" s="68" t="str">
        <f t="shared" si="24"/>
        <v xml:space="preserve">(MD) - CHARLES </v>
      </c>
      <c r="AB79" s="59">
        <v>838750</v>
      </c>
      <c r="AF79" s="68" t="s">
        <v>658</v>
      </c>
      <c r="AG79" s="68" t="s">
        <v>691</v>
      </c>
      <c r="AH79" s="68" t="str">
        <f t="shared" si="25"/>
        <v xml:space="preserve">(MD) - FREDERICK </v>
      </c>
      <c r="AI79" s="71">
        <v>843750</v>
      </c>
      <c r="AK79" s="85" t="s">
        <v>617</v>
      </c>
      <c r="AL79" s="86" t="s">
        <v>709</v>
      </c>
      <c r="AM79" s="74" t="str">
        <f t="shared" si="26"/>
        <v>(MA) - BRISTOL</v>
      </c>
      <c r="AN79" s="87">
        <v>431250</v>
      </c>
      <c r="AP79" s="72" t="s">
        <v>665</v>
      </c>
      <c r="AQ79" s="73" t="s">
        <v>666</v>
      </c>
      <c r="AR79" s="74" t="str">
        <f t="shared" si="35"/>
        <v>(FL) - MONROE COUNTY</v>
      </c>
      <c r="AS79" s="75">
        <v>529000</v>
      </c>
      <c r="AU79" s="35" t="s">
        <v>665</v>
      </c>
      <c r="AV79" s="36" t="s">
        <v>693</v>
      </c>
      <c r="AW79" s="74" t="str">
        <f t="shared" si="32"/>
        <v>(FL) - MONROE</v>
      </c>
      <c r="AX79" s="76">
        <v>529000</v>
      </c>
      <c r="AZ79" s="37" t="s">
        <v>665</v>
      </c>
      <c r="BA79" s="38" t="s">
        <v>693</v>
      </c>
      <c r="BB79" s="74" t="str">
        <f t="shared" si="33"/>
        <v>(FL) - MONROE</v>
      </c>
      <c r="BC79" s="76">
        <v>529000</v>
      </c>
      <c r="BE79" s="39" t="s">
        <v>665</v>
      </c>
      <c r="BF79" s="40" t="s">
        <v>705</v>
      </c>
      <c r="BG79" s="41" t="str">
        <f t="shared" si="27"/>
        <v>(FL) - COLLIER</v>
      </c>
      <c r="BH79" s="77">
        <v>450800</v>
      </c>
      <c r="BK79" s="37" t="s">
        <v>577</v>
      </c>
      <c r="BL79" s="38" t="s">
        <v>676</v>
      </c>
      <c r="BM79" s="43" t="str">
        <f t="shared" si="34"/>
        <v>(HI) - HAWAII</v>
      </c>
      <c r="BN79" s="76">
        <v>679650</v>
      </c>
      <c r="BQ79" s="38" t="s">
        <v>680</v>
      </c>
      <c r="BR79" s="37" t="s">
        <v>577</v>
      </c>
      <c r="BS79" s="78" t="str">
        <f t="shared" si="28"/>
        <v>(HI) - HONOLULU</v>
      </c>
      <c r="BT79" s="79">
        <v>726525</v>
      </c>
      <c r="BW79" s="38" t="s">
        <v>600</v>
      </c>
      <c r="BX79" s="37" t="s">
        <v>577</v>
      </c>
      <c r="BY79" s="78" t="str">
        <f t="shared" si="29"/>
        <v xml:space="preserve">(HI) - KAUAI </v>
      </c>
      <c r="BZ79" s="80">
        <v>765600</v>
      </c>
      <c r="CC79" s="43" t="s">
        <v>676</v>
      </c>
      <c r="CD79" s="43" t="s">
        <v>694</v>
      </c>
      <c r="CE79" s="37" t="s">
        <v>577</v>
      </c>
      <c r="CF79" s="81" t="str">
        <f t="shared" si="20"/>
        <v>(HI) - MAUI COUNTY</v>
      </c>
      <c r="CG79" s="59">
        <v>822375</v>
      </c>
      <c r="CH79" s="59"/>
      <c r="CI79" s="263" t="s">
        <v>706</v>
      </c>
      <c r="CJ79" s="264" t="s">
        <v>611</v>
      </c>
      <c r="CK79" s="265">
        <v>648600</v>
      </c>
      <c r="CM79" s="43" t="str">
        <f t="shared" si="21"/>
        <v>(ID) - CAMAS COUNTY</v>
      </c>
      <c r="CN79" s="269">
        <f t="shared" si="19"/>
        <v>648600</v>
      </c>
      <c r="CO79" s="269"/>
      <c r="CQ79" s="266" t="s">
        <v>704</v>
      </c>
      <c r="CR79" s="267" t="s">
        <v>611</v>
      </c>
      <c r="CS79" s="268">
        <v>1089300</v>
      </c>
      <c r="CV79" s="43" t="str">
        <f t="shared" si="30"/>
        <v>(ID) - CAMAS COUNTY</v>
      </c>
      <c r="CW79" s="70">
        <f t="shared" si="31"/>
        <v>740600</v>
      </c>
    </row>
    <row r="80" spans="6:101" ht="15.75" thickBot="1" x14ac:dyDescent="0.3">
      <c r="F80" s="43" t="s">
        <v>710</v>
      </c>
      <c r="G80" s="58">
        <v>487500</v>
      </c>
      <c r="H80" s="58"/>
      <c r="I80" s="43" t="s">
        <v>696</v>
      </c>
      <c r="J80" s="68" t="s">
        <v>675</v>
      </c>
      <c r="K80" s="68" t="str">
        <f t="shared" si="22"/>
        <v xml:space="preserve">(MD ) - CALVERT </v>
      </c>
      <c r="L80" s="69">
        <v>818750</v>
      </c>
      <c r="M80" s="68" t="s">
        <v>592</v>
      </c>
      <c r="N80" s="58"/>
      <c r="R80" s="43" t="s">
        <v>658</v>
      </c>
      <c r="S80" s="43" t="s">
        <v>711</v>
      </c>
      <c r="T80" s="68" t="str">
        <f t="shared" si="23"/>
        <v xml:space="preserve">(MD) - PRINCE GEORGE'S </v>
      </c>
      <c r="U80" s="70">
        <v>625500</v>
      </c>
      <c r="Y80" s="43" t="s">
        <v>658</v>
      </c>
      <c r="Z80" s="43" t="s">
        <v>691</v>
      </c>
      <c r="AA80" s="68" t="str">
        <f t="shared" si="24"/>
        <v xml:space="preserve">(MD) - FREDERICK </v>
      </c>
      <c r="AB80" s="59">
        <v>838750</v>
      </c>
      <c r="AF80" s="68" t="s">
        <v>658</v>
      </c>
      <c r="AG80" s="68" t="s">
        <v>697</v>
      </c>
      <c r="AH80" s="68" t="str">
        <f t="shared" si="25"/>
        <v xml:space="preserve">(MD) - HARFORD </v>
      </c>
      <c r="AI80" s="71">
        <v>500000</v>
      </c>
      <c r="AK80" s="72" t="s">
        <v>617</v>
      </c>
      <c r="AL80" s="73" t="s">
        <v>712</v>
      </c>
      <c r="AM80" s="74" t="str">
        <f t="shared" si="26"/>
        <v>(MA) - DUKES</v>
      </c>
      <c r="AN80" s="75">
        <v>715000</v>
      </c>
      <c r="AP80" s="72" t="s">
        <v>688</v>
      </c>
      <c r="AQ80" s="73" t="s">
        <v>699</v>
      </c>
      <c r="AR80" s="74" t="str">
        <f t="shared" si="35"/>
        <v>(GA) - GREENE</v>
      </c>
      <c r="AS80" s="75">
        <v>515200</v>
      </c>
      <c r="AU80" s="35" t="s">
        <v>688</v>
      </c>
      <c r="AV80" s="36" t="s">
        <v>699</v>
      </c>
      <c r="AW80" s="74" t="str">
        <f t="shared" si="32"/>
        <v>(GA) - GREENE</v>
      </c>
      <c r="AX80" s="76">
        <v>515200</v>
      </c>
      <c r="AZ80" s="37" t="s">
        <v>688</v>
      </c>
      <c r="BA80" s="38" t="s">
        <v>699</v>
      </c>
      <c r="BB80" s="74" t="str">
        <f t="shared" si="33"/>
        <v>(GA) - GREENE</v>
      </c>
      <c r="BC80" s="76">
        <v>515200</v>
      </c>
      <c r="BE80" s="39" t="s">
        <v>665</v>
      </c>
      <c r="BF80" s="40" t="s">
        <v>693</v>
      </c>
      <c r="BG80" s="41" t="str">
        <f t="shared" si="27"/>
        <v>(FL) - MONROE</v>
      </c>
      <c r="BH80" s="77">
        <v>529000</v>
      </c>
      <c r="BK80" s="37" t="s">
        <v>577</v>
      </c>
      <c r="BL80" s="38" t="s">
        <v>680</v>
      </c>
      <c r="BM80" s="43" t="str">
        <f t="shared" si="34"/>
        <v>(HI) - HONOLULU</v>
      </c>
      <c r="BN80" s="76">
        <v>721050</v>
      </c>
      <c r="BQ80" s="38" t="s">
        <v>685</v>
      </c>
      <c r="BR80" s="37" t="s">
        <v>577</v>
      </c>
      <c r="BS80" s="78" t="str">
        <f t="shared" si="28"/>
        <v>(HI) - KALAWAO</v>
      </c>
      <c r="BT80" s="79">
        <v>726525</v>
      </c>
      <c r="BW80" s="38" t="s">
        <v>606</v>
      </c>
      <c r="BX80" s="37" t="s">
        <v>577</v>
      </c>
      <c r="BY80" s="78" t="str">
        <f t="shared" si="29"/>
        <v xml:space="preserve">(HI) - MAUI </v>
      </c>
      <c r="BZ80" s="80">
        <v>765600</v>
      </c>
      <c r="CC80" s="43" t="s">
        <v>713</v>
      </c>
      <c r="CD80" s="43" t="s">
        <v>700</v>
      </c>
      <c r="CE80" s="37" t="s">
        <v>611</v>
      </c>
      <c r="CF80" s="81" t="str">
        <f t="shared" si="20"/>
        <v>(ID) - BLAINE COUNTY</v>
      </c>
      <c r="CG80" s="59">
        <v>625500</v>
      </c>
      <c r="CH80" s="59"/>
      <c r="CI80" s="266" t="s">
        <v>704</v>
      </c>
      <c r="CJ80" s="267" t="s">
        <v>611</v>
      </c>
      <c r="CK80" s="268">
        <v>970800</v>
      </c>
      <c r="CM80" s="43" t="str">
        <f t="shared" si="21"/>
        <v>(ID) - TETON COUNTY</v>
      </c>
      <c r="CN80" s="269">
        <f t="shared" si="19"/>
        <v>970800</v>
      </c>
      <c r="CO80" s="269"/>
      <c r="CQ80" s="263" t="s">
        <v>714</v>
      </c>
      <c r="CR80" s="264" t="s">
        <v>658</v>
      </c>
      <c r="CS80" s="265">
        <v>1089300</v>
      </c>
      <c r="CV80" s="43" t="str">
        <f t="shared" si="30"/>
        <v>(ID) - TETON COUNTY</v>
      </c>
      <c r="CW80" s="70">
        <f t="shared" si="31"/>
        <v>1089300</v>
      </c>
    </row>
    <row r="81" spans="6:101" ht="15.75" thickBot="1" x14ac:dyDescent="0.3">
      <c r="F81" s="43" t="s">
        <v>715</v>
      </c>
      <c r="G81" s="58">
        <v>768750</v>
      </c>
      <c r="H81" s="58"/>
      <c r="I81" s="43" t="s">
        <v>696</v>
      </c>
      <c r="J81" s="68" t="s">
        <v>679</v>
      </c>
      <c r="K81" s="68" t="str">
        <f t="shared" si="22"/>
        <v xml:space="preserve">(MD ) - CARROLL </v>
      </c>
      <c r="L81" s="69">
        <v>500000</v>
      </c>
      <c r="M81" s="68" t="s">
        <v>592</v>
      </c>
      <c r="N81" s="58"/>
      <c r="R81" s="43" t="s">
        <v>658</v>
      </c>
      <c r="S81" s="43" t="s">
        <v>716</v>
      </c>
      <c r="T81" s="68" t="str">
        <f t="shared" si="23"/>
        <v xml:space="preserve">(MD) - QUEEN ANNE'S </v>
      </c>
      <c r="U81" s="70">
        <v>478400</v>
      </c>
      <c r="Y81" s="43" t="s">
        <v>658</v>
      </c>
      <c r="Z81" s="43" t="s">
        <v>697</v>
      </c>
      <c r="AA81" s="68" t="str">
        <f t="shared" si="24"/>
        <v xml:space="preserve">(MD) - HARFORD </v>
      </c>
      <c r="AB81" s="59">
        <v>520000</v>
      </c>
      <c r="AF81" s="68" t="s">
        <v>658</v>
      </c>
      <c r="AG81" s="68" t="s">
        <v>703</v>
      </c>
      <c r="AH81" s="68" t="str">
        <f t="shared" si="25"/>
        <v xml:space="preserve">(MD) - HOWARD </v>
      </c>
      <c r="AI81" s="71">
        <v>500000</v>
      </c>
      <c r="AK81" s="72" t="s">
        <v>617</v>
      </c>
      <c r="AL81" s="73" t="s">
        <v>717</v>
      </c>
      <c r="AM81" s="74" t="str">
        <f t="shared" si="26"/>
        <v>(MA) - ESSEX</v>
      </c>
      <c r="AN81" s="75">
        <v>511250</v>
      </c>
      <c r="AP81" s="72" t="s">
        <v>572</v>
      </c>
      <c r="AQ81" s="73" t="s">
        <v>670</v>
      </c>
      <c r="AR81" s="74" t="str">
        <f t="shared" si="35"/>
        <v>(GU) - GUAM</v>
      </c>
      <c r="AS81" s="75">
        <v>625500</v>
      </c>
      <c r="AU81" s="35" t="s">
        <v>572</v>
      </c>
      <c r="AV81" s="36" t="s">
        <v>670</v>
      </c>
      <c r="AW81" s="74" t="str">
        <f t="shared" si="32"/>
        <v>(GU) - GUAM</v>
      </c>
      <c r="AX81" s="76">
        <v>625500</v>
      </c>
      <c r="AZ81" s="37" t="s">
        <v>572</v>
      </c>
      <c r="BA81" s="38" t="s">
        <v>670</v>
      </c>
      <c r="BB81" s="74" t="str">
        <f t="shared" si="33"/>
        <v>(GU) - GUAM</v>
      </c>
      <c r="BC81" s="76">
        <v>625500</v>
      </c>
      <c r="BE81" s="39" t="s">
        <v>688</v>
      </c>
      <c r="BF81" s="40" t="s">
        <v>699</v>
      </c>
      <c r="BG81" s="41" t="str">
        <f t="shared" si="27"/>
        <v>(GA) - GREENE</v>
      </c>
      <c r="BH81" s="77">
        <v>515200</v>
      </c>
      <c r="BK81" s="37" t="s">
        <v>577</v>
      </c>
      <c r="BL81" s="38" t="s">
        <v>685</v>
      </c>
      <c r="BM81" s="43" t="str">
        <f t="shared" si="34"/>
        <v>(HI) - KALAWAO</v>
      </c>
      <c r="BN81" s="76">
        <v>679650</v>
      </c>
      <c r="BQ81" s="38" t="s">
        <v>692</v>
      </c>
      <c r="BR81" s="37" t="s">
        <v>577</v>
      </c>
      <c r="BS81" s="78" t="str">
        <f t="shared" si="28"/>
        <v>(HI) - KAUAI</v>
      </c>
      <c r="BT81" s="79">
        <v>726525</v>
      </c>
      <c r="BW81" s="38" t="s">
        <v>624</v>
      </c>
      <c r="BX81" s="37" t="s">
        <v>611</v>
      </c>
      <c r="BY81" s="78" t="str">
        <f t="shared" si="29"/>
        <v xml:space="preserve">(ID) - BLAINE </v>
      </c>
      <c r="BZ81" s="80">
        <v>625500</v>
      </c>
      <c r="CC81" s="43" t="s">
        <v>713</v>
      </c>
      <c r="CD81" s="43" t="s">
        <v>706</v>
      </c>
      <c r="CE81" s="37" t="s">
        <v>611</v>
      </c>
      <c r="CF81" s="81" t="str">
        <f t="shared" si="20"/>
        <v>(ID) - CAMAS COUNTY</v>
      </c>
      <c r="CG81" s="59">
        <v>625500</v>
      </c>
      <c r="CH81" s="59"/>
      <c r="CI81" s="263" t="s">
        <v>714</v>
      </c>
      <c r="CJ81" s="264" t="s">
        <v>658</v>
      </c>
      <c r="CK81" s="265">
        <v>970800</v>
      </c>
      <c r="CM81" s="43" t="str">
        <f t="shared" si="21"/>
        <v>(MD) - CALVERT COUNTY</v>
      </c>
      <c r="CN81" s="269">
        <f t="shared" si="19"/>
        <v>970800</v>
      </c>
      <c r="CO81" s="269"/>
      <c r="CQ81" s="266" t="s">
        <v>718</v>
      </c>
      <c r="CR81" s="267" t="s">
        <v>658</v>
      </c>
      <c r="CS81" s="268">
        <v>1089300</v>
      </c>
      <c r="CV81" s="43" t="str">
        <f t="shared" si="30"/>
        <v>(MD) - CALVERT COUNTY</v>
      </c>
      <c r="CW81" s="70">
        <f t="shared" si="31"/>
        <v>1089300</v>
      </c>
    </row>
    <row r="82" spans="6:101" ht="15.75" thickBot="1" x14ac:dyDescent="0.3">
      <c r="F82" s="43" t="s">
        <v>719</v>
      </c>
      <c r="G82" s="58">
        <v>768750</v>
      </c>
      <c r="H82" s="58"/>
      <c r="I82" s="43" t="s">
        <v>696</v>
      </c>
      <c r="J82" s="68" t="s">
        <v>684</v>
      </c>
      <c r="K82" s="68" t="str">
        <f t="shared" si="22"/>
        <v xml:space="preserve">(MD ) - CHARLES </v>
      </c>
      <c r="L82" s="69">
        <v>818750</v>
      </c>
      <c r="M82" s="68" t="s">
        <v>592</v>
      </c>
      <c r="N82" s="58"/>
      <c r="R82" s="43" t="s">
        <v>720</v>
      </c>
      <c r="S82" s="43" t="s">
        <v>721</v>
      </c>
      <c r="T82" s="68" t="str">
        <f t="shared" si="23"/>
        <v xml:space="preserve">(NH) - ROCKINGHAM </v>
      </c>
      <c r="U82" s="70">
        <v>460000</v>
      </c>
      <c r="Y82" s="43" t="s">
        <v>658</v>
      </c>
      <c r="Z82" s="43" t="s">
        <v>703</v>
      </c>
      <c r="AA82" s="68" t="str">
        <f t="shared" si="24"/>
        <v xml:space="preserve">(MD) - HOWARD </v>
      </c>
      <c r="AB82" s="59">
        <v>520000</v>
      </c>
      <c r="AF82" s="68" t="s">
        <v>658</v>
      </c>
      <c r="AG82" s="68" t="s">
        <v>708</v>
      </c>
      <c r="AH82" s="68" t="str">
        <f t="shared" si="25"/>
        <v xml:space="preserve">(MD) - MONTGOMERY </v>
      </c>
      <c r="AI82" s="71">
        <v>843750</v>
      </c>
      <c r="AK82" s="72" t="s">
        <v>617</v>
      </c>
      <c r="AL82" s="73" t="s">
        <v>668</v>
      </c>
      <c r="AM82" s="74" t="str">
        <f t="shared" si="26"/>
        <v>(MA) - MIDDLESEX</v>
      </c>
      <c r="AN82" s="75">
        <v>511250</v>
      </c>
      <c r="AP82" s="72" t="s">
        <v>577</v>
      </c>
      <c r="AQ82" s="73" t="s">
        <v>676</v>
      </c>
      <c r="AR82" s="74" t="str">
        <f t="shared" si="35"/>
        <v>(HI) - HAWAII</v>
      </c>
      <c r="AS82" s="75">
        <v>625500</v>
      </c>
      <c r="AU82" s="35" t="s">
        <v>577</v>
      </c>
      <c r="AV82" s="36" t="s">
        <v>676</v>
      </c>
      <c r="AW82" s="74" t="str">
        <f t="shared" si="32"/>
        <v>(HI) - HAWAII</v>
      </c>
      <c r="AX82" s="76">
        <v>625500</v>
      </c>
      <c r="AZ82" s="37" t="s">
        <v>577</v>
      </c>
      <c r="BA82" s="38" t="s">
        <v>676</v>
      </c>
      <c r="BB82" s="74" t="str">
        <f t="shared" si="33"/>
        <v>(HI) - HAWAII</v>
      </c>
      <c r="BC82" s="76">
        <v>625500</v>
      </c>
      <c r="BE82" s="39" t="s">
        <v>572</v>
      </c>
      <c r="BF82" s="40" t="s">
        <v>670</v>
      </c>
      <c r="BG82" s="41" t="str">
        <f t="shared" si="27"/>
        <v>(GU) - GUAM</v>
      </c>
      <c r="BH82" s="77">
        <v>636150</v>
      </c>
      <c r="BK82" s="37" t="s">
        <v>577</v>
      </c>
      <c r="BL82" s="38" t="s">
        <v>692</v>
      </c>
      <c r="BM82" s="43" t="str">
        <f t="shared" si="34"/>
        <v>(HI) - KAUAI</v>
      </c>
      <c r="BN82" s="76">
        <v>713000</v>
      </c>
      <c r="BQ82" s="38" t="s">
        <v>698</v>
      </c>
      <c r="BR82" s="37" t="s">
        <v>577</v>
      </c>
      <c r="BS82" s="78" t="str">
        <f t="shared" si="28"/>
        <v>(HI) - MAUI</v>
      </c>
      <c r="BT82" s="79">
        <v>726525</v>
      </c>
      <c r="BW82" s="38" t="s">
        <v>722</v>
      </c>
      <c r="BX82" s="37" t="s">
        <v>611</v>
      </c>
      <c r="BY82" s="78" t="str">
        <f t="shared" si="29"/>
        <v xml:space="preserve">(ID) - CAMAS </v>
      </c>
      <c r="BZ82" s="80">
        <v>625500</v>
      </c>
      <c r="CC82" s="43" t="s">
        <v>713</v>
      </c>
      <c r="CD82" s="43" t="s">
        <v>723</v>
      </c>
      <c r="CE82" s="37" t="s">
        <v>611</v>
      </c>
      <c r="CF82" s="81" t="str">
        <f t="shared" si="20"/>
        <v>(ID) - LINCOLN COUNTY</v>
      </c>
      <c r="CG82" s="59">
        <v>625500</v>
      </c>
      <c r="CH82" s="59"/>
      <c r="CI82" s="266" t="s">
        <v>718</v>
      </c>
      <c r="CJ82" s="267" t="s">
        <v>658</v>
      </c>
      <c r="CK82" s="268">
        <v>970800</v>
      </c>
      <c r="CM82" s="43" t="str">
        <f t="shared" si="21"/>
        <v>(MD) - CHARLES COUNTY</v>
      </c>
      <c r="CN82" s="269">
        <f t="shared" si="19"/>
        <v>970800</v>
      </c>
      <c r="CO82" s="269"/>
      <c r="CQ82" s="263" t="s">
        <v>724</v>
      </c>
      <c r="CR82" s="264" t="s">
        <v>658</v>
      </c>
      <c r="CS82" s="265">
        <v>1089300</v>
      </c>
      <c r="CV82" s="43" t="str">
        <f t="shared" si="30"/>
        <v>(MD) - CHARLES COUNTY</v>
      </c>
      <c r="CW82" s="70">
        <f t="shared" si="31"/>
        <v>1089300</v>
      </c>
    </row>
    <row r="83" spans="6:101" ht="15.75" thickBot="1" x14ac:dyDescent="0.3">
      <c r="F83" s="43" t="s">
        <v>725</v>
      </c>
      <c r="G83" s="58">
        <v>487500</v>
      </c>
      <c r="H83" s="58"/>
      <c r="I83" s="43" t="s">
        <v>696</v>
      </c>
      <c r="J83" s="68" t="s">
        <v>726</v>
      </c>
      <c r="K83" s="68" t="str">
        <f t="shared" si="22"/>
        <v>(MD ) - FREDERICK</v>
      </c>
      <c r="L83" s="69">
        <v>818750</v>
      </c>
      <c r="M83" s="68" t="s">
        <v>592</v>
      </c>
      <c r="N83" s="58"/>
      <c r="R83" s="43" t="s">
        <v>720</v>
      </c>
      <c r="S83" s="43" t="s">
        <v>727</v>
      </c>
      <c r="T83" s="68" t="str">
        <f t="shared" si="23"/>
        <v xml:space="preserve">(NH) - STRAFFORD </v>
      </c>
      <c r="U83" s="70">
        <v>460000</v>
      </c>
      <c r="Y83" s="43" t="s">
        <v>658</v>
      </c>
      <c r="Z83" s="43" t="s">
        <v>708</v>
      </c>
      <c r="AA83" s="68" t="str">
        <f t="shared" si="24"/>
        <v xml:space="preserve">(MD) - MONTGOMERY </v>
      </c>
      <c r="AB83" s="59">
        <v>838750</v>
      </c>
      <c r="AF83" s="68" t="s">
        <v>658</v>
      </c>
      <c r="AG83" s="68" t="s">
        <v>711</v>
      </c>
      <c r="AH83" s="68" t="str">
        <f t="shared" si="25"/>
        <v xml:space="preserve">(MD) - PRINCE GEORGE'S </v>
      </c>
      <c r="AI83" s="71">
        <v>843750</v>
      </c>
      <c r="AK83" s="72" t="s">
        <v>617</v>
      </c>
      <c r="AL83" s="73" t="s">
        <v>728</v>
      </c>
      <c r="AM83" s="74" t="str">
        <f t="shared" si="26"/>
        <v>(MA) - NANTUCKET</v>
      </c>
      <c r="AN83" s="75">
        <v>1094625</v>
      </c>
      <c r="AP83" s="72" t="s">
        <v>577</v>
      </c>
      <c r="AQ83" s="73" t="s">
        <v>680</v>
      </c>
      <c r="AR83" s="74" t="str">
        <f t="shared" si="35"/>
        <v>(HI) - HONOLULU</v>
      </c>
      <c r="AS83" s="75">
        <v>721050</v>
      </c>
      <c r="AU83" s="35" t="s">
        <v>577</v>
      </c>
      <c r="AV83" s="36" t="s">
        <v>680</v>
      </c>
      <c r="AW83" s="74" t="str">
        <f t="shared" si="32"/>
        <v>(HI) - HONOLULU</v>
      </c>
      <c r="AX83" s="76">
        <v>721050</v>
      </c>
      <c r="AZ83" s="37" t="s">
        <v>577</v>
      </c>
      <c r="BA83" s="38" t="s">
        <v>680</v>
      </c>
      <c r="BB83" s="74" t="str">
        <f t="shared" si="33"/>
        <v>(HI) - HONOLULU</v>
      </c>
      <c r="BC83" s="76">
        <v>721050</v>
      </c>
      <c r="BE83" s="39" t="s">
        <v>577</v>
      </c>
      <c r="BF83" s="40" t="s">
        <v>676</v>
      </c>
      <c r="BG83" s="41" t="str">
        <f t="shared" si="27"/>
        <v>(HI) - HAWAII</v>
      </c>
      <c r="BH83" s="77">
        <v>636150</v>
      </c>
      <c r="BK83" s="37" t="s">
        <v>577</v>
      </c>
      <c r="BL83" s="38" t="s">
        <v>698</v>
      </c>
      <c r="BM83" s="43" t="str">
        <f t="shared" si="34"/>
        <v>(HI) - MAUI</v>
      </c>
      <c r="BN83" s="76">
        <v>679650</v>
      </c>
      <c r="BQ83" s="38" t="s">
        <v>729</v>
      </c>
      <c r="BR83" s="37" t="s">
        <v>611</v>
      </c>
      <c r="BS83" s="78" t="str">
        <f t="shared" si="28"/>
        <v>(ID) - BLAINE</v>
      </c>
      <c r="BT83" s="79">
        <v>625500</v>
      </c>
      <c r="BW83" s="38" t="s">
        <v>730</v>
      </c>
      <c r="BX83" s="37" t="s">
        <v>611</v>
      </c>
      <c r="BY83" s="78" t="str">
        <f t="shared" si="29"/>
        <v xml:space="preserve">(ID) - LINCOLN </v>
      </c>
      <c r="BZ83" s="80">
        <v>625500</v>
      </c>
      <c r="CC83" s="43" t="s">
        <v>713</v>
      </c>
      <c r="CD83" s="43" t="s">
        <v>704</v>
      </c>
      <c r="CE83" s="37" t="s">
        <v>611</v>
      </c>
      <c r="CF83" s="81" t="str">
        <f t="shared" si="20"/>
        <v>(ID) - TETON COUNTY</v>
      </c>
      <c r="CG83" s="59">
        <v>822375</v>
      </c>
      <c r="CH83" s="59"/>
      <c r="CI83" s="263" t="s">
        <v>724</v>
      </c>
      <c r="CJ83" s="264" t="s">
        <v>658</v>
      </c>
      <c r="CK83" s="265">
        <v>970800</v>
      </c>
      <c r="CM83" s="43" t="str">
        <f t="shared" si="21"/>
        <v>(MD) - FREDERICK COUNTY</v>
      </c>
      <c r="CN83" s="269">
        <f t="shared" si="19"/>
        <v>970800</v>
      </c>
      <c r="CO83" s="269"/>
      <c r="CQ83" s="266" t="s">
        <v>731</v>
      </c>
      <c r="CR83" s="267" t="s">
        <v>658</v>
      </c>
      <c r="CS83" s="268">
        <v>1089300</v>
      </c>
      <c r="CV83" s="43" t="str">
        <f t="shared" si="30"/>
        <v>(MD) - FREDERICK COUNTY</v>
      </c>
      <c r="CW83" s="70">
        <f t="shared" si="31"/>
        <v>1089300</v>
      </c>
    </row>
    <row r="84" spans="6:101" ht="15.75" thickBot="1" x14ac:dyDescent="0.3">
      <c r="F84" s="43" t="s">
        <v>732</v>
      </c>
      <c r="G84" s="58">
        <v>487500</v>
      </c>
      <c r="H84" s="58"/>
      <c r="I84" s="43" t="s">
        <v>696</v>
      </c>
      <c r="J84" s="68" t="s">
        <v>697</v>
      </c>
      <c r="K84" s="68" t="str">
        <f t="shared" si="22"/>
        <v xml:space="preserve">(MD ) - HARFORD </v>
      </c>
      <c r="L84" s="69">
        <v>500000</v>
      </c>
      <c r="M84" s="68" t="s">
        <v>592</v>
      </c>
      <c r="N84" s="58"/>
      <c r="R84" s="43" t="s">
        <v>733</v>
      </c>
      <c r="S84" s="43" t="s">
        <v>734</v>
      </c>
      <c r="T84" s="68" t="str">
        <f t="shared" si="23"/>
        <v xml:space="preserve">(NJ) - BERGEN </v>
      </c>
      <c r="U84" s="70">
        <v>625500</v>
      </c>
      <c r="Y84" s="43" t="s">
        <v>658</v>
      </c>
      <c r="Z84" s="43" t="s">
        <v>711</v>
      </c>
      <c r="AA84" s="68" t="str">
        <f t="shared" si="24"/>
        <v xml:space="preserve">(MD) - PRINCE GEORGE'S </v>
      </c>
      <c r="AB84" s="59">
        <v>838750</v>
      </c>
      <c r="AF84" s="68" t="s">
        <v>658</v>
      </c>
      <c r="AG84" s="68" t="s">
        <v>716</v>
      </c>
      <c r="AH84" s="68" t="str">
        <f t="shared" si="25"/>
        <v xml:space="preserve">(MD) - QUEEN ANNE'S </v>
      </c>
      <c r="AI84" s="71">
        <v>500000</v>
      </c>
      <c r="AK84" s="72" t="s">
        <v>617</v>
      </c>
      <c r="AL84" s="73" t="s">
        <v>735</v>
      </c>
      <c r="AM84" s="74" t="str">
        <f t="shared" si="26"/>
        <v>(MA) - NORFOLK</v>
      </c>
      <c r="AN84" s="75">
        <v>511250</v>
      </c>
      <c r="AP84" s="72" t="s">
        <v>577</v>
      </c>
      <c r="AQ84" s="73" t="s">
        <v>685</v>
      </c>
      <c r="AR84" s="74" t="str">
        <f t="shared" si="35"/>
        <v>(HI) - KALAWAO</v>
      </c>
      <c r="AS84" s="75">
        <v>657800</v>
      </c>
      <c r="AU84" s="35" t="s">
        <v>577</v>
      </c>
      <c r="AV84" s="36" t="s">
        <v>685</v>
      </c>
      <c r="AW84" s="74" t="str">
        <f t="shared" si="32"/>
        <v>(HI) - KALAWAO</v>
      </c>
      <c r="AX84" s="76">
        <v>657800</v>
      </c>
      <c r="AZ84" s="37" t="s">
        <v>577</v>
      </c>
      <c r="BA84" s="38" t="s">
        <v>685</v>
      </c>
      <c r="BB84" s="74" t="str">
        <f t="shared" si="33"/>
        <v>(HI) - KALAWAO</v>
      </c>
      <c r="BC84" s="76">
        <v>657800</v>
      </c>
      <c r="BE84" s="39" t="s">
        <v>577</v>
      </c>
      <c r="BF84" s="40" t="s">
        <v>680</v>
      </c>
      <c r="BG84" s="41" t="str">
        <f t="shared" si="27"/>
        <v>(HI) - HONOLULU</v>
      </c>
      <c r="BH84" s="77">
        <v>721050</v>
      </c>
      <c r="BK84" s="37" t="s">
        <v>611</v>
      </c>
      <c r="BL84" s="38" t="s">
        <v>729</v>
      </c>
      <c r="BM84" s="43" t="str">
        <f t="shared" si="34"/>
        <v>(ID) - BLAINE</v>
      </c>
      <c r="BN84" s="76">
        <v>625500</v>
      </c>
      <c r="BQ84" s="38" t="s">
        <v>736</v>
      </c>
      <c r="BR84" s="37" t="s">
        <v>611</v>
      </c>
      <c r="BS84" s="78" t="str">
        <f t="shared" si="28"/>
        <v>(ID) - CAMAS</v>
      </c>
      <c r="BT84" s="79">
        <v>625500</v>
      </c>
      <c r="BW84" s="38" t="s">
        <v>612</v>
      </c>
      <c r="BX84" s="37" t="s">
        <v>611</v>
      </c>
      <c r="BY84" s="78" t="str">
        <f t="shared" si="29"/>
        <v xml:space="preserve">(ID) - TETON </v>
      </c>
      <c r="BZ84" s="80">
        <v>765600</v>
      </c>
      <c r="CC84" s="43" t="s">
        <v>737</v>
      </c>
      <c r="CD84" s="43" t="s">
        <v>714</v>
      </c>
      <c r="CE84" s="37" t="s">
        <v>658</v>
      </c>
      <c r="CF84" s="81" t="str">
        <f t="shared" si="20"/>
        <v>(MD) - CALVERT COUNTY</v>
      </c>
      <c r="CG84" s="59">
        <v>822375</v>
      </c>
      <c r="CH84" s="59"/>
      <c r="CI84" s="266" t="s">
        <v>731</v>
      </c>
      <c r="CJ84" s="267" t="s">
        <v>658</v>
      </c>
      <c r="CK84" s="268">
        <v>970800</v>
      </c>
      <c r="CM84" s="43" t="str">
        <f t="shared" si="21"/>
        <v>(MD) - MONTGOMERY COUNTY</v>
      </c>
      <c r="CN84" s="269">
        <f t="shared" si="19"/>
        <v>970800</v>
      </c>
      <c r="CO84" s="269"/>
      <c r="CQ84" s="263" t="s">
        <v>738</v>
      </c>
      <c r="CR84" s="264" t="s">
        <v>658</v>
      </c>
      <c r="CS84" s="265">
        <v>1089300</v>
      </c>
      <c r="CV84" s="43" t="str">
        <f t="shared" si="30"/>
        <v>(MD) - MONTGOMERY COUNTY</v>
      </c>
      <c r="CW84" s="70">
        <f t="shared" si="31"/>
        <v>1089300</v>
      </c>
    </row>
    <row r="85" spans="6:101" ht="15.75" thickBot="1" x14ac:dyDescent="0.3">
      <c r="F85" s="43" t="s">
        <v>739</v>
      </c>
      <c r="G85" s="58">
        <v>768750</v>
      </c>
      <c r="H85" s="58"/>
      <c r="I85" s="43" t="s">
        <v>696</v>
      </c>
      <c r="J85" s="68" t="s">
        <v>703</v>
      </c>
      <c r="K85" s="68" t="str">
        <f t="shared" si="22"/>
        <v xml:space="preserve">(MD ) - HOWARD </v>
      </c>
      <c r="L85" s="69">
        <v>500000</v>
      </c>
      <c r="M85" s="68" t="s">
        <v>592</v>
      </c>
      <c r="N85" s="58"/>
      <c r="R85" s="43" t="s">
        <v>733</v>
      </c>
      <c r="S85" s="43" t="s">
        <v>623</v>
      </c>
      <c r="T85" s="68" t="str">
        <f t="shared" si="23"/>
        <v xml:space="preserve">(NJ) - ESSEX </v>
      </c>
      <c r="U85" s="70">
        <v>625500</v>
      </c>
      <c r="Y85" s="43" t="s">
        <v>658</v>
      </c>
      <c r="Z85" s="43" t="s">
        <v>716</v>
      </c>
      <c r="AA85" s="68" t="str">
        <f t="shared" si="24"/>
        <v xml:space="preserve">(MD) - QUEEN ANNE'S </v>
      </c>
      <c r="AB85" s="59">
        <v>520000</v>
      </c>
      <c r="AF85" s="68" t="s">
        <v>720</v>
      </c>
      <c r="AG85" s="68" t="s">
        <v>721</v>
      </c>
      <c r="AH85" s="68" t="str">
        <f t="shared" si="25"/>
        <v xml:space="preserve">(NH) - ROCKINGHAM </v>
      </c>
      <c r="AI85" s="71">
        <v>500000</v>
      </c>
      <c r="AK85" s="72" t="s">
        <v>617</v>
      </c>
      <c r="AL85" s="73" t="s">
        <v>740</v>
      </c>
      <c r="AM85" s="74" t="str">
        <f t="shared" si="26"/>
        <v>(MA) - PLYMOUTH</v>
      </c>
      <c r="AN85" s="75">
        <v>511250</v>
      </c>
      <c r="AP85" s="72" t="s">
        <v>577</v>
      </c>
      <c r="AQ85" s="73" t="s">
        <v>692</v>
      </c>
      <c r="AR85" s="74" t="str">
        <f t="shared" si="35"/>
        <v>(HI) - KAUAI</v>
      </c>
      <c r="AS85" s="75">
        <v>713000</v>
      </c>
      <c r="AU85" s="35" t="s">
        <v>577</v>
      </c>
      <c r="AV85" s="36" t="s">
        <v>692</v>
      </c>
      <c r="AW85" s="74" t="str">
        <f t="shared" si="32"/>
        <v>(HI) - KAUAI</v>
      </c>
      <c r="AX85" s="76">
        <v>713000</v>
      </c>
      <c r="AZ85" s="37" t="s">
        <v>577</v>
      </c>
      <c r="BA85" s="38" t="s">
        <v>692</v>
      </c>
      <c r="BB85" s="74" t="str">
        <f t="shared" si="33"/>
        <v>(HI) - KAUAI</v>
      </c>
      <c r="BC85" s="76">
        <v>713000</v>
      </c>
      <c r="BE85" s="39" t="s">
        <v>577</v>
      </c>
      <c r="BF85" s="40" t="s">
        <v>685</v>
      </c>
      <c r="BG85" s="41" t="str">
        <f t="shared" si="27"/>
        <v>(HI) - KALAWAO</v>
      </c>
      <c r="BH85" s="77">
        <v>657800</v>
      </c>
      <c r="BK85" s="37" t="s">
        <v>611</v>
      </c>
      <c r="BL85" s="38" t="s">
        <v>736</v>
      </c>
      <c r="BM85" s="43" t="str">
        <f t="shared" si="34"/>
        <v>(ID) - CAMAS</v>
      </c>
      <c r="BN85" s="76">
        <v>625500</v>
      </c>
      <c r="BQ85" s="38" t="s">
        <v>741</v>
      </c>
      <c r="BR85" s="37" t="s">
        <v>611</v>
      </c>
      <c r="BS85" s="78" t="str">
        <f t="shared" si="28"/>
        <v>(ID) - LINCOLN</v>
      </c>
      <c r="BT85" s="79">
        <v>625500</v>
      </c>
      <c r="BW85" s="38" t="s">
        <v>659</v>
      </c>
      <c r="BX85" s="37" t="s">
        <v>658</v>
      </c>
      <c r="BY85" s="78" t="str">
        <f t="shared" si="29"/>
        <v xml:space="preserve">(MD) - ANNE ARUNDEL </v>
      </c>
      <c r="BZ85" s="80">
        <v>520950</v>
      </c>
      <c r="CC85" s="43" t="s">
        <v>737</v>
      </c>
      <c r="CD85" s="43" t="s">
        <v>718</v>
      </c>
      <c r="CE85" s="37" t="s">
        <v>658</v>
      </c>
      <c r="CF85" s="81" t="str">
        <f t="shared" si="20"/>
        <v>(MD) - CHARLES COUNTY</v>
      </c>
      <c r="CG85" s="59">
        <v>822375</v>
      </c>
      <c r="CH85" s="59"/>
      <c r="CI85" s="263" t="s">
        <v>738</v>
      </c>
      <c r="CJ85" s="264" t="s">
        <v>658</v>
      </c>
      <c r="CK85" s="265">
        <v>970800</v>
      </c>
      <c r="CM85" s="43" t="str">
        <f t="shared" si="21"/>
        <v>(MD) - PRINCE GEORGE'S COUNTY</v>
      </c>
      <c r="CN85" s="269">
        <f t="shared" si="19"/>
        <v>970800</v>
      </c>
      <c r="CO85" s="269"/>
      <c r="CQ85" s="266" t="s">
        <v>742</v>
      </c>
      <c r="CR85" s="267" t="s">
        <v>617</v>
      </c>
      <c r="CS85" s="268">
        <v>1089300</v>
      </c>
      <c r="CV85" s="43" t="str">
        <f t="shared" si="30"/>
        <v>(MD) - PRINCE GEORGE'S COUNTY</v>
      </c>
      <c r="CW85" s="70">
        <f t="shared" si="31"/>
        <v>1089300</v>
      </c>
    </row>
    <row r="86" spans="6:101" ht="15.75" thickBot="1" x14ac:dyDescent="0.3">
      <c r="F86" s="43" t="s">
        <v>743</v>
      </c>
      <c r="G86" s="58">
        <v>768750</v>
      </c>
      <c r="H86" s="58"/>
      <c r="I86" s="43" t="s">
        <v>696</v>
      </c>
      <c r="J86" s="68" t="s">
        <v>708</v>
      </c>
      <c r="K86" s="68" t="str">
        <f t="shared" si="22"/>
        <v xml:space="preserve">(MD ) - MONTGOMERY </v>
      </c>
      <c r="L86" s="69">
        <v>818750</v>
      </c>
      <c r="M86" s="68" t="s">
        <v>592</v>
      </c>
      <c r="N86" s="58"/>
      <c r="R86" s="43" t="s">
        <v>733</v>
      </c>
      <c r="S86" s="43" t="s">
        <v>744</v>
      </c>
      <c r="T86" s="68" t="str">
        <f t="shared" si="23"/>
        <v xml:space="preserve">(NJ) - HUDSON </v>
      </c>
      <c r="U86" s="70">
        <v>625500</v>
      </c>
      <c r="Y86" s="43" t="s">
        <v>720</v>
      </c>
      <c r="Z86" s="43" t="s">
        <v>721</v>
      </c>
      <c r="AA86" s="68" t="str">
        <f t="shared" si="24"/>
        <v xml:space="preserve">(NH) - ROCKINGHAM </v>
      </c>
      <c r="AB86" s="59">
        <v>500000</v>
      </c>
      <c r="AF86" s="68" t="s">
        <v>720</v>
      </c>
      <c r="AG86" s="68" t="s">
        <v>727</v>
      </c>
      <c r="AH86" s="68" t="str">
        <f t="shared" si="25"/>
        <v xml:space="preserve">(NH) - STRAFFORD </v>
      </c>
      <c r="AI86" s="71">
        <v>500000</v>
      </c>
      <c r="AK86" s="72" t="s">
        <v>617</v>
      </c>
      <c r="AL86" s="73" t="s">
        <v>745</v>
      </c>
      <c r="AM86" s="74" t="str">
        <f t="shared" si="26"/>
        <v>(MA) - SUFFOLK</v>
      </c>
      <c r="AN86" s="75">
        <v>511250</v>
      </c>
      <c r="AP86" s="72" t="s">
        <v>577</v>
      </c>
      <c r="AQ86" s="73" t="s">
        <v>698</v>
      </c>
      <c r="AR86" s="74" t="str">
        <f t="shared" si="35"/>
        <v>(HI) - MAUI</v>
      </c>
      <c r="AS86" s="75">
        <v>657800</v>
      </c>
      <c r="AU86" s="35" t="s">
        <v>577</v>
      </c>
      <c r="AV86" s="36" t="s">
        <v>698</v>
      </c>
      <c r="AW86" s="74" t="str">
        <f t="shared" si="32"/>
        <v>(HI) - MAUI</v>
      </c>
      <c r="AX86" s="76">
        <v>657800</v>
      </c>
      <c r="AZ86" s="37" t="s">
        <v>577</v>
      </c>
      <c r="BA86" s="38" t="s">
        <v>698</v>
      </c>
      <c r="BB86" s="74" t="str">
        <f t="shared" si="33"/>
        <v>(HI) - MAUI</v>
      </c>
      <c r="BC86" s="76">
        <v>657800</v>
      </c>
      <c r="BE86" s="39" t="s">
        <v>577</v>
      </c>
      <c r="BF86" s="40" t="s">
        <v>692</v>
      </c>
      <c r="BG86" s="41" t="str">
        <f t="shared" si="27"/>
        <v>(HI) - KAUAI</v>
      </c>
      <c r="BH86" s="77">
        <v>713000</v>
      </c>
      <c r="BK86" s="37" t="s">
        <v>611</v>
      </c>
      <c r="BL86" s="38" t="s">
        <v>741</v>
      </c>
      <c r="BM86" s="43" t="str">
        <f t="shared" si="34"/>
        <v>(ID) - LINCOLN</v>
      </c>
      <c r="BN86" s="76">
        <v>625500</v>
      </c>
      <c r="BQ86" s="38" t="s">
        <v>746</v>
      </c>
      <c r="BR86" s="37" t="s">
        <v>611</v>
      </c>
      <c r="BS86" s="78" t="str">
        <f t="shared" si="28"/>
        <v>(ID) - TETON</v>
      </c>
      <c r="BT86" s="79">
        <v>726525</v>
      </c>
      <c r="BW86" s="38" t="s">
        <v>664</v>
      </c>
      <c r="BX86" s="37" t="s">
        <v>658</v>
      </c>
      <c r="BY86" s="78" t="str">
        <f t="shared" si="29"/>
        <v xml:space="preserve">(MD) - BALTIMORE </v>
      </c>
      <c r="BZ86" s="80">
        <v>520950</v>
      </c>
      <c r="CC86" s="43" t="s">
        <v>737</v>
      </c>
      <c r="CD86" s="43" t="s">
        <v>724</v>
      </c>
      <c r="CE86" s="37" t="s">
        <v>658</v>
      </c>
      <c r="CF86" s="81" t="str">
        <f t="shared" si="20"/>
        <v>(MD) - FREDERICK COUNTY</v>
      </c>
      <c r="CG86" s="59">
        <v>822375</v>
      </c>
      <c r="CH86" s="59"/>
      <c r="CI86" s="266" t="s">
        <v>742</v>
      </c>
      <c r="CJ86" s="267" t="s">
        <v>617</v>
      </c>
      <c r="CK86" s="268">
        <v>970800</v>
      </c>
      <c r="CM86" s="43" t="str">
        <f t="shared" si="21"/>
        <v>(MA) - DUKES COUNTY</v>
      </c>
      <c r="CN86" s="269">
        <f t="shared" si="19"/>
        <v>970800</v>
      </c>
      <c r="CO86" s="269"/>
      <c r="CQ86" s="263" t="s">
        <v>747</v>
      </c>
      <c r="CR86" s="264" t="s">
        <v>617</v>
      </c>
      <c r="CS86" s="265">
        <v>828000</v>
      </c>
      <c r="CV86" s="43" t="str">
        <f t="shared" si="30"/>
        <v>(MA) - DUKES COUNTY</v>
      </c>
      <c r="CW86" s="70">
        <f t="shared" si="31"/>
        <v>1089300</v>
      </c>
    </row>
    <row r="87" spans="6:101" ht="15.75" thickBot="1" x14ac:dyDescent="0.3">
      <c r="F87" s="43" t="s">
        <v>748</v>
      </c>
      <c r="G87" s="58">
        <v>487500</v>
      </c>
      <c r="H87" s="58"/>
      <c r="I87" s="43" t="s">
        <v>696</v>
      </c>
      <c r="J87" s="68" t="s">
        <v>711</v>
      </c>
      <c r="K87" s="68" t="str">
        <f t="shared" si="22"/>
        <v xml:space="preserve">(MD ) - PRINCE GEORGE'S </v>
      </c>
      <c r="L87" s="69">
        <v>818750</v>
      </c>
      <c r="M87" s="68" t="s">
        <v>592</v>
      </c>
      <c r="N87" s="58"/>
      <c r="R87" s="43" t="s">
        <v>733</v>
      </c>
      <c r="S87" s="43" t="s">
        <v>749</v>
      </c>
      <c r="T87" s="68" t="str">
        <f t="shared" si="23"/>
        <v xml:space="preserve">(NJ) - HUNTERDON </v>
      </c>
      <c r="U87" s="70">
        <v>625500</v>
      </c>
      <c r="Y87" s="43" t="s">
        <v>720</v>
      </c>
      <c r="Z87" s="43" t="s">
        <v>727</v>
      </c>
      <c r="AA87" s="68" t="str">
        <f t="shared" si="24"/>
        <v xml:space="preserve">(NH) - STRAFFORD </v>
      </c>
      <c r="AB87" s="59">
        <v>500000</v>
      </c>
      <c r="AF87" s="68" t="s">
        <v>733</v>
      </c>
      <c r="AG87" s="68" t="s">
        <v>734</v>
      </c>
      <c r="AH87" s="68" t="str">
        <f t="shared" si="25"/>
        <v xml:space="preserve">(NJ) - BERGEN </v>
      </c>
      <c r="AI87" s="71">
        <v>722500</v>
      </c>
      <c r="AK87" s="72" t="s">
        <v>658</v>
      </c>
      <c r="AL87" s="73" t="s">
        <v>750</v>
      </c>
      <c r="AM87" s="74" t="str">
        <f t="shared" si="26"/>
        <v>(MD) - ANNE ARUNDEL</v>
      </c>
      <c r="AN87" s="75">
        <v>500000</v>
      </c>
      <c r="AP87" s="72" t="s">
        <v>611</v>
      </c>
      <c r="AQ87" s="73" t="s">
        <v>729</v>
      </c>
      <c r="AR87" s="74" t="str">
        <f t="shared" si="35"/>
        <v>(ID) - BLAINE</v>
      </c>
      <c r="AS87" s="75">
        <v>625500</v>
      </c>
      <c r="AU87" s="35" t="s">
        <v>611</v>
      </c>
      <c r="AV87" s="36" t="s">
        <v>729</v>
      </c>
      <c r="AW87" s="74" t="str">
        <f t="shared" si="32"/>
        <v>(ID) - BLAINE</v>
      </c>
      <c r="AX87" s="76">
        <v>625500</v>
      </c>
      <c r="AZ87" s="37" t="s">
        <v>611</v>
      </c>
      <c r="BA87" s="38" t="s">
        <v>729</v>
      </c>
      <c r="BB87" s="74" t="str">
        <f t="shared" si="33"/>
        <v>(ID) - BLAINE</v>
      </c>
      <c r="BC87" s="76">
        <v>625500</v>
      </c>
      <c r="BE87" s="39" t="s">
        <v>577</v>
      </c>
      <c r="BF87" s="40" t="s">
        <v>698</v>
      </c>
      <c r="BG87" s="41" t="str">
        <f t="shared" si="27"/>
        <v>(HI) - MAUI</v>
      </c>
      <c r="BH87" s="77">
        <v>657800</v>
      </c>
      <c r="BK87" s="37" t="s">
        <v>611</v>
      </c>
      <c r="BL87" s="38" t="s">
        <v>746</v>
      </c>
      <c r="BM87" s="43" t="str">
        <f t="shared" si="34"/>
        <v>(ID) - TETON</v>
      </c>
      <c r="BN87" s="76">
        <v>679650</v>
      </c>
      <c r="BQ87" s="38" t="s">
        <v>750</v>
      </c>
      <c r="BR87" s="37" t="s">
        <v>658</v>
      </c>
      <c r="BS87" s="78" t="str">
        <f t="shared" si="28"/>
        <v>(MD) - ANNE ARUNDEL</v>
      </c>
      <c r="BT87" s="79">
        <v>517500</v>
      </c>
      <c r="BW87" s="38" t="s">
        <v>675</v>
      </c>
      <c r="BX87" s="37" t="s">
        <v>658</v>
      </c>
      <c r="BY87" s="78" t="str">
        <f t="shared" si="29"/>
        <v xml:space="preserve">(MD) - CALVERT </v>
      </c>
      <c r="BZ87" s="80">
        <v>765600</v>
      </c>
      <c r="CC87" s="43" t="s">
        <v>737</v>
      </c>
      <c r="CD87" s="43" t="s">
        <v>731</v>
      </c>
      <c r="CE87" s="37" t="s">
        <v>658</v>
      </c>
      <c r="CF87" s="81" t="str">
        <f t="shared" si="20"/>
        <v>(MD) - MONTGOMERY COUNTY</v>
      </c>
      <c r="CG87" s="59">
        <v>822375</v>
      </c>
      <c r="CH87" s="59"/>
      <c r="CI87" s="263" t="s">
        <v>747</v>
      </c>
      <c r="CJ87" s="264" t="s">
        <v>617</v>
      </c>
      <c r="CK87" s="265">
        <v>770500</v>
      </c>
      <c r="CM87" s="43" t="str">
        <f t="shared" si="21"/>
        <v>(MA) - ESSEX COUNTY</v>
      </c>
      <c r="CN87" s="269">
        <f t="shared" si="19"/>
        <v>770500</v>
      </c>
      <c r="CO87" s="269"/>
      <c r="CQ87" s="266" t="s">
        <v>751</v>
      </c>
      <c r="CR87" s="267" t="s">
        <v>617</v>
      </c>
      <c r="CS87" s="268">
        <v>828000</v>
      </c>
      <c r="CV87" s="43" t="str">
        <f t="shared" si="30"/>
        <v>(MA) - ESSEX COUNTY</v>
      </c>
      <c r="CW87" s="70">
        <f t="shared" si="31"/>
        <v>828000</v>
      </c>
    </row>
    <row r="88" spans="6:101" ht="15.75" thickBot="1" x14ac:dyDescent="0.3">
      <c r="F88" s="43" t="s">
        <v>752</v>
      </c>
      <c r="G88" s="58">
        <v>550000</v>
      </c>
      <c r="H88" s="58"/>
      <c r="I88" s="43" t="s">
        <v>696</v>
      </c>
      <c r="J88" s="68" t="s">
        <v>716</v>
      </c>
      <c r="K88" s="68" t="str">
        <f t="shared" si="22"/>
        <v xml:space="preserve">(MD ) - QUEEN ANNE'S </v>
      </c>
      <c r="L88" s="69">
        <v>500000</v>
      </c>
      <c r="M88" s="68" t="s">
        <v>592</v>
      </c>
      <c r="N88" s="58"/>
      <c r="R88" s="43" t="s">
        <v>733</v>
      </c>
      <c r="S88" s="43" t="s">
        <v>629</v>
      </c>
      <c r="T88" s="68" t="str">
        <f t="shared" si="23"/>
        <v xml:space="preserve">(NJ) - MIDDLESEX </v>
      </c>
      <c r="U88" s="70">
        <v>625500</v>
      </c>
      <c r="Y88" s="43" t="s">
        <v>733</v>
      </c>
      <c r="Z88" s="43" t="s">
        <v>734</v>
      </c>
      <c r="AA88" s="68" t="str">
        <f t="shared" si="24"/>
        <v xml:space="preserve">(NJ) - BERGEN </v>
      </c>
      <c r="AB88" s="59">
        <v>777500</v>
      </c>
      <c r="AF88" s="68" t="s">
        <v>733</v>
      </c>
      <c r="AG88" s="68" t="s">
        <v>623</v>
      </c>
      <c r="AH88" s="68" t="str">
        <f t="shared" si="25"/>
        <v xml:space="preserve">(NJ) - ESSEX </v>
      </c>
      <c r="AI88" s="71">
        <v>722500</v>
      </c>
      <c r="AK88" s="72" t="s">
        <v>658</v>
      </c>
      <c r="AL88" s="73" t="s">
        <v>702</v>
      </c>
      <c r="AM88" s="74" t="str">
        <f t="shared" si="26"/>
        <v>(MD) - BALTIMORE</v>
      </c>
      <c r="AN88" s="75">
        <v>500000</v>
      </c>
      <c r="AP88" s="72" t="s">
        <v>611</v>
      </c>
      <c r="AQ88" s="73" t="s">
        <v>736</v>
      </c>
      <c r="AR88" s="74" t="str">
        <f t="shared" si="35"/>
        <v>(ID) - CAMAS</v>
      </c>
      <c r="AS88" s="75">
        <v>625500</v>
      </c>
      <c r="AU88" s="35" t="s">
        <v>611</v>
      </c>
      <c r="AV88" s="36" t="s">
        <v>736</v>
      </c>
      <c r="AW88" s="74" t="str">
        <f t="shared" si="32"/>
        <v>(ID) - CAMAS</v>
      </c>
      <c r="AX88" s="76">
        <v>625500</v>
      </c>
      <c r="AZ88" s="37" t="s">
        <v>611</v>
      </c>
      <c r="BA88" s="38" t="s">
        <v>736</v>
      </c>
      <c r="BB88" s="74" t="str">
        <f t="shared" si="33"/>
        <v>(ID) - CAMAS</v>
      </c>
      <c r="BC88" s="76">
        <v>625500</v>
      </c>
      <c r="BE88" s="39" t="s">
        <v>611</v>
      </c>
      <c r="BF88" s="40" t="s">
        <v>729</v>
      </c>
      <c r="BG88" s="41" t="str">
        <f t="shared" si="27"/>
        <v>(ID) - BLAINE</v>
      </c>
      <c r="BH88" s="77">
        <v>625500</v>
      </c>
      <c r="BK88" s="37" t="s">
        <v>658</v>
      </c>
      <c r="BL88" s="38" t="s">
        <v>750</v>
      </c>
      <c r="BM88" s="43" t="str">
        <f t="shared" si="34"/>
        <v>(MD) - ANNE ARUNDEL</v>
      </c>
      <c r="BN88" s="76">
        <v>517500</v>
      </c>
      <c r="BQ88" s="38" t="s">
        <v>702</v>
      </c>
      <c r="BR88" s="37" t="s">
        <v>658</v>
      </c>
      <c r="BS88" s="78" t="str">
        <f t="shared" si="28"/>
        <v>(MD) - BALTIMORE</v>
      </c>
      <c r="BT88" s="79">
        <v>517500</v>
      </c>
      <c r="BW88" s="38" t="s">
        <v>679</v>
      </c>
      <c r="BX88" s="37" t="s">
        <v>658</v>
      </c>
      <c r="BY88" s="78" t="str">
        <f t="shared" si="29"/>
        <v xml:space="preserve">(MD) - CARROLL </v>
      </c>
      <c r="BZ88" s="80">
        <v>520950</v>
      </c>
      <c r="CC88" s="43" t="s">
        <v>737</v>
      </c>
      <c r="CD88" s="43" t="s">
        <v>738</v>
      </c>
      <c r="CE88" s="37" t="s">
        <v>658</v>
      </c>
      <c r="CF88" s="81" t="str">
        <f t="shared" si="20"/>
        <v>(MD) - PRINCE GEORGE'S COUNTY</v>
      </c>
      <c r="CG88" s="59">
        <v>822375</v>
      </c>
      <c r="CH88" s="59"/>
      <c r="CI88" s="266" t="s">
        <v>751</v>
      </c>
      <c r="CJ88" s="267" t="s">
        <v>617</v>
      </c>
      <c r="CK88" s="268">
        <v>770500</v>
      </c>
      <c r="CM88" s="43" t="str">
        <f t="shared" si="21"/>
        <v>(MA) - MIDDLESEX COUNTY</v>
      </c>
      <c r="CN88" s="269">
        <f t="shared" si="19"/>
        <v>770500</v>
      </c>
      <c r="CO88" s="269"/>
      <c r="CQ88" s="263" t="s">
        <v>753</v>
      </c>
      <c r="CR88" s="264" t="s">
        <v>617</v>
      </c>
      <c r="CS88" s="265">
        <v>1089300</v>
      </c>
      <c r="CV88" s="43" t="str">
        <f t="shared" si="30"/>
        <v>(MA) - MIDDLESEX COUNTY</v>
      </c>
      <c r="CW88" s="70">
        <f t="shared" si="31"/>
        <v>828000</v>
      </c>
    </row>
    <row r="89" spans="6:101" ht="15.75" thickBot="1" x14ac:dyDescent="0.3">
      <c r="F89" s="43" t="s">
        <v>754</v>
      </c>
      <c r="G89" s="58">
        <v>430000</v>
      </c>
      <c r="H89" s="58"/>
      <c r="I89" s="43" t="s">
        <v>755</v>
      </c>
      <c r="J89" s="68" t="s">
        <v>756</v>
      </c>
      <c r="K89" s="68" t="str">
        <f t="shared" si="22"/>
        <v xml:space="preserve">(MP ) - NORTHERN ISLAND </v>
      </c>
      <c r="L89" s="69">
        <v>436250</v>
      </c>
      <c r="M89" s="68" t="s">
        <v>586</v>
      </c>
      <c r="N89" s="58"/>
      <c r="R89" s="43" t="s">
        <v>733</v>
      </c>
      <c r="S89" s="43" t="s">
        <v>757</v>
      </c>
      <c r="T89" s="68" t="str">
        <f t="shared" si="23"/>
        <v xml:space="preserve">(NJ) - MONMOUTH </v>
      </c>
      <c r="U89" s="70">
        <v>625500</v>
      </c>
      <c r="Y89" s="43" t="s">
        <v>733</v>
      </c>
      <c r="Z89" s="43" t="s">
        <v>623</v>
      </c>
      <c r="AA89" s="68" t="str">
        <f t="shared" si="24"/>
        <v xml:space="preserve">(NJ) - ESSEX </v>
      </c>
      <c r="AB89" s="59">
        <v>777500</v>
      </c>
      <c r="AF89" s="68" t="s">
        <v>733</v>
      </c>
      <c r="AG89" s="68" t="s">
        <v>744</v>
      </c>
      <c r="AH89" s="68" t="str">
        <f t="shared" si="25"/>
        <v xml:space="preserve">(NJ) - HUDSON </v>
      </c>
      <c r="AI89" s="71">
        <v>722500</v>
      </c>
      <c r="AK89" s="72" t="s">
        <v>658</v>
      </c>
      <c r="AL89" s="73" t="s">
        <v>758</v>
      </c>
      <c r="AM89" s="74" t="str">
        <f t="shared" si="26"/>
        <v>(MD) - BALTIMORE CITY</v>
      </c>
      <c r="AN89" s="75">
        <v>500000</v>
      </c>
      <c r="AP89" s="72" t="s">
        <v>611</v>
      </c>
      <c r="AQ89" s="73" t="s">
        <v>741</v>
      </c>
      <c r="AR89" s="74" t="str">
        <f t="shared" si="35"/>
        <v>(ID) - LINCOLN</v>
      </c>
      <c r="AS89" s="75">
        <v>625500</v>
      </c>
      <c r="AU89" s="35" t="s">
        <v>611</v>
      </c>
      <c r="AV89" s="36" t="s">
        <v>741</v>
      </c>
      <c r="AW89" s="74" t="str">
        <f t="shared" si="32"/>
        <v>(ID) - LINCOLN</v>
      </c>
      <c r="AX89" s="76">
        <v>625500</v>
      </c>
      <c r="AZ89" s="37" t="s">
        <v>611</v>
      </c>
      <c r="BA89" s="38" t="s">
        <v>741</v>
      </c>
      <c r="BB89" s="74" t="str">
        <f t="shared" si="33"/>
        <v>(ID) - LINCOLN</v>
      </c>
      <c r="BC89" s="76">
        <v>625500</v>
      </c>
      <c r="BE89" s="39" t="s">
        <v>611</v>
      </c>
      <c r="BF89" s="40" t="s">
        <v>736</v>
      </c>
      <c r="BG89" s="41" t="str">
        <f t="shared" si="27"/>
        <v>(ID) - CAMAS</v>
      </c>
      <c r="BH89" s="77">
        <v>625500</v>
      </c>
      <c r="BK89" s="37" t="s">
        <v>658</v>
      </c>
      <c r="BL89" s="38" t="s">
        <v>702</v>
      </c>
      <c r="BM89" s="43" t="str">
        <f t="shared" si="34"/>
        <v>(MD) - BALTIMORE</v>
      </c>
      <c r="BN89" s="76">
        <v>517500</v>
      </c>
      <c r="BQ89" s="38" t="s">
        <v>759</v>
      </c>
      <c r="BR89" s="37" t="s">
        <v>658</v>
      </c>
      <c r="BS89" s="78" t="str">
        <f t="shared" si="28"/>
        <v>(MD) - CALVERT</v>
      </c>
      <c r="BT89" s="79">
        <v>726525</v>
      </c>
      <c r="BW89" s="38" t="s">
        <v>684</v>
      </c>
      <c r="BX89" s="37" t="s">
        <v>658</v>
      </c>
      <c r="BY89" s="78" t="str">
        <f t="shared" si="29"/>
        <v xml:space="preserve">(MD) - CHARLES </v>
      </c>
      <c r="BZ89" s="80">
        <v>765600</v>
      </c>
      <c r="CC89" s="43" t="s">
        <v>760</v>
      </c>
      <c r="CD89" s="43" t="s">
        <v>742</v>
      </c>
      <c r="CE89" s="37" t="s">
        <v>617</v>
      </c>
      <c r="CF89" s="81" t="str">
        <f t="shared" si="20"/>
        <v>(MA) - DUKES COUNTY</v>
      </c>
      <c r="CG89" s="59">
        <v>822375</v>
      </c>
      <c r="CH89" s="59"/>
      <c r="CI89" s="263" t="s">
        <v>753</v>
      </c>
      <c r="CJ89" s="264" t="s">
        <v>617</v>
      </c>
      <c r="CK89" s="265">
        <v>970800</v>
      </c>
      <c r="CM89" s="43" t="str">
        <f t="shared" si="21"/>
        <v>(MA) - NANTUCKET COUNTY</v>
      </c>
      <c r="CN89" s="269">
        <f t="shared" si="19"/>
        <v>970800</v>
      </c>
      <c r="CO89" s="269"/>
      <c r="CQ89" s="266" t="s">
        <v>761</v>
      </c>
      <c r="CR89" s="267" t="s">
        <v>617</v>
      </c>
      <c r="CS89" s="268">
        <v>828000</v>
      </c>
      <c r="CV89" s="43" t="str">
        <f t="shared" si="30"/>
        <v>(MA) - NANTUCKET COUNTY</v>
      </c>
      <c r="CW89" s="70">
        <f t="shared" si="31"/>
        <v>1089300</v>
      </c>
    </row>
    <row r="90" spans="6:101" ht="15.75" thickBot="1" x14ac:dyDescent="0.3">
      <c r="F90" s="43" t="s">
        <v>762</v>
      </c>
      <c r="G90" s="58">
        <v>553750</v>
      </c>
      <c r="H90" s="58"/>
      <c r="I90" s="43" t="s">
        <v>755</v>
      </c>
      <c r="J90" s="68" t="s">
        <v>763</v>
      </c>
      <c r="K90" s="68" t="str">
        <f t="shared" si="22"/>
        <v xml:space="preserve">(MP ) - SAIPAN </v>
      </c>
      <c r="L90" s="69">
        <v>440000</v>
      </c>
      <c r="M90" s="68" t="s">
        <v>586</v>
      </c>
      <c r="N90" s="58"/>
      <c r="R90" s="43" t="s">
        <v>733</v>
      </c>
      <c r="S90" s="43" t="s">
        <v>764</v>
      </c>
      <c r="T90" s="68" t="str">
        <f t="shared" si="23"/>
        <v xml:space="preserve">(NJ) - MORRIS </v>
      </c>
      <c r="U90" s="70">
        <v>625500</v>
      </c>
      <c r="Y90" s="43" t="s">
        <v>733</v>
      </c>
      <c r="Z90" s="43" t="s">
        <v>744</v>
      </c>
      <c r="AA90" s="68" t="str">
        <f t="shared" si="24"/>
        <v xml:space="preserve">(NJ) - HUDSON </v>
      </c>
      <c r="AB90" s="59">
        <v>777500</v>
      </c>
      <c r="AF90" s="68" t="s">
        <v>733</v>
      </c>
      <c r="AG90" s="68" t="s">
        <v>749</v>
      </c>
      <c r="AH90" s="68" t="str">
        <f t="shared" si="25"/>
        <v xml:space="preserve">(NJ) - HUNTERDON </v>
      </c>
      <c r="AI90" s="71">
        <v>722500</v>
      </c>
      <c r="AK90" s="72" t="s">
        <v>658</v>
      </c>
      <c r="AL90" s="73" t="s">
        <v>759</v>
      </c>
      <c r="AM90" s="74" t="str">
        <f t="shared" si="26"/>
        <v>(MD) - CALVERT</v>
      </c>
      <c r="AN90" s="75">
        <v>692500</v>
      </c>
      <c r="AP90" s="72" t="s">
        <v>611</v>
      </c>
      <c r="AQ90" s="73" t="s">
        <v>704</v>
      </c>
      <c r="AR90" s="74" t="str">
        <f t="shared" si="35"/>
        <v>(ID) - TETON COUNTY</v>
      </c>
      <c r="AS90" s="75">
        <v>630000</v>
      </c>
      <c r="AU90" s="35" t="s">
        <v>611</v>
      </c>
      <c r="AV90" s="36" t="s">
        <v>746</v>
      </c>
      <c r="AW90" s="74" t="str">
        <f t="shared" si="32"/>
        <v>(ID) - TETON</v>
      </c>
      <c r="AX90" s="76">
        <v>625500</v>
      </c>
      <c r="AZ90" s="37" t="s">
        <v>611</v>
      </c>
      <c r="BA90" s="38" t="s">
        <v>746</v>
      </c>
      <c r="BB90" s="74" t="str">
        <f t="shared" si="33"/>
        <v>(ID) - TETON</v>
      </c>
      <c r="BC90" s="76">
        <v>625500</v>
      </c>
      <c r="BE90" s="39" t="s">
        <v>611</v>
      </c>
      <c r="BF90" s="40" t="s">
        <v>741</v>
      </c>
      <c r="BG90" s="41" t="str">
        <f t="shared" si="27"/>
        <v>(ID) - LINCOLN</v>
      </c>
      <c r="BH90" s="77">
        <v>625500</v>
      </c>
      <c r="BK90" s="37" t="s">
        <v>658</v>
      </c>
      <c r="BL90" s="38" t="s">
        <v>759</v>
      </c>
      <c r="BM90" s="43" t="str">
        <f t="shared" si="34"/>
        <v>(MD) - CALVERT</v>
      </c>
      <c r="BN90" s="76">
        <v>679650</v>
      </c>
      <c r="BQ90" s="38" t="s">
        <v>765</v>
      </c>
      <c r="BR90" s="37" t="s">
        <v>658</v>
      </c>
      <c r="BS90" s="78" t="str">
        <f t="shared" si="28"/>
        <v>(MD) - CARROLL</v>
      </c>
      <c r="BT90" s="79">
        <v>517500</v>
      </c>
      <c r="BW90" s="38" t="s">
        <v>691</v>
      </c>
      <c r="BX90" s="37" t="s">
        <v>658</v>
      </c>
      <c r="BY90" s="78" t="str">
        <f t="shared" si="29"/>
        <v xml:space="preserve">(MD) - FREDERICK </v>
      </c>
      <c r="BZ90" s="80">
        <v>765600</v>
      </c>
      <c r="CC90" s="43" t="s">
        <v>760</v>
      </c>
      <c r="CD90" s="43" t="s">
        <v>747</v>
      </c>
      <c r="CE90" s="37" t="s">
        <v>617</v>
      </c>
      <c r="CF90" s="81" t="str">
        <f t="shared" si="20"/>
        <v>(MA) - ESSEX COUNTY</v>
      </c>
      <c r="CG90" s="59">
        <v>724500</v>
      </c>
      <c r="CH90" s="59"/>
      <c r="CI90" s="266" t="s">
        <v>761</v>
      </c>
      <c r="CJ90" s="267" t="s">
        <v>617</v>
      </c>
      <c r="CK90" s="268">
        <v>770500</v>
      </c>
      <c r="CM90" s="43" t="str">
        <f t="shared" si="21"/>
        <v>(MA) - NORFOLK COUNTY</v>
      </c>
      <c r="CN90" s="269">
        <f t="shared" si="19"/>
        <v>770500</v>
      </c>
      <c r="CO90" s="269"/>
      <c r="CQ90" s="263" t="s">
        <v>766</v>
      </c>
      <c r="CR90" s="264" t="s">
        <v>617</v>
      </c>
      <c r="CS90" s="265">
        <v>828000</v>
      </c>
      <c r="CV90" s="43" t="str">
        <f t="shared" si="30"/>
        <v>(MA) - NORFOLK COUNTY</v>
      </c>
      <c r="CW90" s="70">
        <f t="shared" si="31"/>
        <v>828000</v>
      </c>
    </row>
    <row r="91" spans="6:101" ht="15.75" thickBot="1" x14ac:dyDescent="0.3">
      <c r="F91" s="43" t="s">
        <v>767</v>
      </c>
      <c r="G91" s="58">
        <v>557500</v>
      </c>
      <c r="H91" s="58"/>
      <c r="I91" s="43" t="s">
        <v>755</v>
      </c>
      <c r="J91" s="68" t="s">
        <v>768</v>
      </c>
      <c r="K91" s="68" t="str">
        <f t="shared" si="22"/>
        <v xml:space="preserve">(MP ) - TINIAN </v>
      </c>
      <c r="L91" s="69">
        <v>442500</v>
      </c>
      <c r="M91" s="68" t="s">
        <v>586</v>
      </c>
      <c r="N91" s="58"/>
      <c r="R91" s="43" t="s">
        <v>733</v>
      </c>
      <c r="S91" s="43" t="s">
        <v>769</v>
      </c>
      <c r="T91" s="68" t="str">
        <f t="shared" si="23"/>
        <v xml:space="preserve">(NJ) - OCEAN </v>
      </c>
      <c r="U91" s="70">
        <v>625500</v>
      </c>
      <c r="Y91" s="43" t="s">
        <v>733</v>
      </c>
      <c r="Z91" s="43" t="s">
        <v>749</v>
      </c>
      <c r="AA91" s="68" t="str">
        <f t="shared" si="24"/>
        <v xml:space="preserve">(NJ) - HUNTERDON </v>
      </c>
      <c r="AB91" s="59">
        <v>777500</v>
      </c>
      <c r="AF91" s="68" t="s">
        <v>733</v>
      </c>
      <c r="AG91" s="68" t="s">
        <v>629</v>
      </c>
      <c r="AH91" s="68" t="str">
        <f t="shared" si="25"/>
        <v xml:space="preserve">(NJ) - MIDDLESEX </v>
      </c>
      <c r="AI91" s="71">
        <v>722500</v>
      </c>
      <c r="AK91" s="72" t="s">
        <v>658</v>
      </c>
      <c r="AL91" s="73" t="s">
        <v>765</v>
      </c>
      <c r="AM91" s="74" t="str">
        <f t="shared" si="26"/>
        <v>(MD) - CARROLL</v>
      </c>
      <c r="AN91" s="75">
        <v>500000</v>
      </c>
      <c r="AP91" s="72" t="s">
        <v>617</v>
      </c>
      <c r="AQ91" s="73" t="s">
        <v>709</v>
      </c>
      <c r="AR91" s="74" t="str">
        <f t="shared" si="35"/>
        <v>(MA) - BRISTOL</v>
      </c>
      <c r="AS91" s="75">
        <v>431250</v>
      </c>
      <c r="AU91" s="35" t="s">
        <v>658</v>
      </c>
      <c r="AV91" s="36" t="s">
        <v>750</v>
      </c>
      <c r="AW91" s="74" t="str">
        <f t="shared" si="32"/>
        <v>(MD) - ANNE ARUNDEL</v>
      </c>
      <c r="AX91" s="76">
        <v>517500</v>
      </c>
      <c r="AZ91" s="37" t="s">
        <v>617</v>
      </c>
      <c r="BA91" s="38" t="s">
        <v>709</v>
      </c>
      <c r="BB91" s="74" t="str">
        <f t="shared" si="33"/>
        <v>(MA) - BRISTOL</v>
      </c>
      <c r="BC91" s="76">
        <v>426650</v>
      </c>
      <c r="BE91" s="39" t="s">
        <v>611</v>
      </c>
      <c r="BF91" s="40" t="s">
        <v>746</v>
      </c>
      <c r="BG91" s="41" t="str">
        <f t="shared" si="27"/>
        <v>(ID) - TETON</v>
      </c>
      <c r="BH91" s="77">
        <v>636150</v>
      </c>
      <c r="BK91" s="37" t="s">
        <v>658</v>
      </c>
      <c r="BL91" s="38" t="s">
        <v>765</v>
      </c>
      <c r="BM91" s="43" t="str">
        <f t="shared" si="34"/>
        <v>(MD) - CARROLL</v>
      </c>
      <c r="BN91" s="76">
        <v>517500</v>
      </c>
      <c r="BQ91" s="38" t="s">
        <v>770</v>
      </c>
      <c r="BR91" s="37" t="s">
        <v>658</v>
      </c>
      <c r="BS91" s="78" t="str">
        <f t="shared" si="28"/>
        <v>(MD) - CHARLES</v>
      </c>
      <c r="BT91" s="79">
        <v>726525</v>
      </c>
      <c r="BW91" s="38" t="s">
        <v>697</v>
      </c>
      <c r="BX91" s="37" t="s">
        <v>658</v>
      </c>
      <c r="BY91" s="78" t="str">
        <f t="shared" si="29"/>
        <v xml:space="preserve">(MD) - HARFORD </v>
      </c>
      <c r="BZ91" s="80">
        <v>520950</v>
      </c>
      <c r="CC91" s="43" t="s">
        <v>760</v>
      </c>
      <c r="CD91" s="43" t="s">
        <v>751</v>
      </c>
      <c r="CE91" s="37" t="s">
        <v>617</v>
      </c>
      <c r="CF91" s="81" t="str">
        <f t="shared" si="20"/>
        <v>(MA) - MIDDLESEX COUNTY</v>
      </c>
      <c r="CG91" s="59">
        <v>724500</v>
      </c>
      <c r="CH91" s="59"/>
      <c r="CI91" s="263" t="s">
        <v>766</v>
      </c>
      <c r="CJ91" s="264" t="s">
        <v>617</v>
      </c>
      <c r="CK91" s="265">
        <v>770500</v>
      </c>
      <c r="CM91" s="43" t="str">
        <f t="shared" si="21"/>
        <v>(MA) - PLYMOUTH COUNTY</v>
      </c>
      <c r="CN91" s="269">
        <f t="shared" si="19"/>
        <v>770500</v>
      </c>
      <c r="CO91" s="269"/>
      <c r="CQ91" s="266" t="s">
        <v>771</v>
      </c>
      <c r="CR91" s="267" t="s">
        <v>617</v>
      </c>
      <c r="CS91" s="268">
        <v>828000</v>
      </c>
      <c r="CV91" s="43" t="str">
        <f t="shared" si="30"/>
        <v>(MA) - PLYMOUTH COUNTY</v>
      </c>
      <c r="CW91" s="70">
        <f t="shared" si="31"/>
        <v>828000</v>
      </c>
    </row>
    <row r="92" spans="6:101" ht="15.75" thickBot="1" x14ac:dyDescent="0.3">
      <c r="F92" s="43" t="s">
        <v>772</v>
      </c>
      <c r="G92" s="58">
        <v>940000</v>
      </c>
      <c r="H92" s="58"/>
      <c r="I92" s="43" t="s">
        <v>773</v>
      </c>
      <c r="J92" s="68" t="s">
        <v>774</v>
      </c>
      <c r="K92" s="68" t="str">
        <f t="shared" si="22"/>
        <v xml:space="preserve">(NC ) - CAMDEN </v>
      </c>
      <c r="L92" s="69">
        <v>875000</v>
      </c>
      <c r="M92" s="68" t="s">
        <v>775</v>
      </c>
      <c r="N92" s="58"/>
      <c r="R92" s="43" t="s">
        <v>733</v>
      </c>
      <c r="S92" s="43" t="s">
        <v>776</v>
      </c>
      <c r="T92" s="68" t="str">
        <f t="shared" si="23"/>
        <v xml:space="preserve">(NJ) - PASSAIC </v>
      </c>
      <c r="U92" s="70">
        <v>625500</v>
      </c>
      <c r="Y92" s="43" t="s">
        <v>733</v>
      </c>
      <c r="Z92" s="43" t="s">
        <v>629</v>
      </c>
      <c r="AA92" s="68" t="str">
        <f t="shared" si="24"/>
        <v xml:space="preserve">(NJ) - MIDDLESEX </v>
      </c>
      <c r="AB92" s="59">
        <v>777500</v>
      </c>
      <c r="AF92" s="68" t="s">
        <v>733</v>
      </c>
      <c r="AG92" s="68" t="s">
        <v>757</v>
      </c>
      <c r="AH92" s="68" t="str">
        <f t="shared" si="25"/>
        <v xml:space="preserve">(NJ) - MONMOUTH </v>
      </c>
      <c r="AI92" s="71">
        <v>722500</v>
      </c>
      <c r="AK92" s="72" t="s">
        <v>658</v>
      </c>
      <c r="AL92" s="73" t="s">
        <v>770</v>
      </c>
      <c r="AM92" s="74" t="str">
        <f t="shared" si="26"/>
        <v>(MD) - CHARLES</v>
      </c>
      <c r="AN92" s="75">
        <v>692500</v>
      </c>
      <c r="AP92" s="72" t="s">
        <v>617</v>
      </c>
      <c r="AQ92" s="73" t="s">
        <v>712</v>
      </c>
      <c r="AR92" s="74" t="str">
        <f t="shared" si="35"/>
        <v>(MA) - DUKES</v>
      </c>
      <c r="AS92" s="75">
        <v>715000</v>
      </c>
      <c r="AU92" s="35" t="s">
        <v>658</v>
      </c>
      <c r="AV92" s="36" t="s">
        <v>702</v>
      </c>
      <c r="AW92" s="74" t="str">
        <f t="shared" si="32"/>
        <v>(MD) - BALTIMORE</v>
      </c>
      <c r="AX92" s="76">
        <v>517500</v>
      </c>
      <c r="AZ92" s="37" t="s">
        <v>617</v>
      </c>
      <c r="BA92" s="38" t="s">
        <v>712</v>
      </c>
      <c r="BB92" s="74" t="str">
        <f t="shared" si="33"/>
        <v>(MA) - DUKES</v>
      </c>
      <c r="BC92" s="76">
        <v>625500</v>
      </c>
      <c r="BE92" s="39" t="s">
        <v>617</v>
      </c>
      <c r="BF92" s="40" t="s">
        <v>709</v>
      </c>
      <c r="BG92" s="41" t="str">
        <f t="shared" si="27"/>
        <v>(MA) - BRISTOL</v>
      </c>
      <c r="BH92" s="77">
        <v>426650</v>
      </c>
      <c r="BK92" s="37" t="s">
        <v>658</v>
      </c>
      <c r="BL92" s="38" t="s">
        <v>770</v>
      </c>
      <c r="BM92" s="43" t="str">
        <f t="shared" si="34"/>
        <v>(MD) - CHARLES</v>
      </c>
      <c r="BN92" s="76">
        <v>679650</v>
      </c>
      <c r="BQ92" s="38" t="s">
        <v>726</v>
      </c>
      <c r="BR92" s="37" t="s">
        <v>658</v>
      </c>
      <c r="BS92" s="78" t="str">
        <f t="shared" si="28"/>
        <v>(MD) - FREDERICK</v>
      </c>
      <c r="BT92" s="79">
        <v>726525</v>
      </c>
      <c r="BW92" s="38" t="s">
        <v>703</v>
      </c>
      <c r="BX92" s="37" t="s">
        <v>658</v>
      </c>
      <c r="BY92" s="78" t="str">
        <f t="shared" si="29"/>
        <v xml:space="preserve">(MD) - HOWARD </v>
      </c>
      <c r="BZ92" s="80">
        <v>520950</v>
      </c>
      <c r="CC92" s="43" t="s">
        <v>760</v>
      </c>
      <c r="CD92" s="43" t="s">
        <v>753</v>
      </c>
      <c r="CE92" s="37" t="s">
        <v>617</v>
      </c>
      <c r="CF92" s="81" t="str">
        <f t="shared" si="20"/>
        <v>(MA) - NANTUCKET COUNTY</v>
      </c>
      <c r="CG92" s="59">
        <v>822375</v>
      </c>
      <c r="CH92" s="59"/>
      <c r="CI92" s="266" t="s">
        <v>771</v>
      </c>
      <c r="CJ92" s="267" t="s">
        <v>617</v>
      </c>
      <c r="CK92" s="268">
        <v>770500</v>
      </c>
      <c r="CM92" s="43" t="str">
        <f t="shared" si="21"/>
        <v>(MA) - SUFFOLK COUNTY</v>
      </c>
      <c r="CN92" s="269">
        <f t="shared" si="19"/>
        <v>770500</v>
      </c>
      <c r="CO92" s="269"/>
      <c r="CQ92" s="263" t="s">
        <v>777</v>
      </c>
      <c r="CR92" s="264" t="s">
        <v>720</v>
      </c>
      <c r="CS92" s="265">
        <v>828000</v>
      </c>
      <c r="CV92" s="43" t="str">
        <f t="shared" si="30"/>
        <v>(MA) - SUFFOLK COUNTY</v>
      </c>
      <c r="CW92" s="70">
        <f t="shared" si="31"/>
        <v>828000</v>
      </c>
    </row>
    <row r="93" spans="6:101" ht="15.75" thickBot="1" x14ac:dyDescent="0.3">
      <c r="F93" s="43" t="s">
        <v>778</v>
      </c>
      <c r="G93" s="58">
        <v>460000</v>
      </c>
      <c r="H93" s="58"/>
      <c r="I93" s="43" t="s">
        <v>773</v>
      </c>
      <c r="J93" s="68" t="s">
        <v>779</v>
      </c>
      <c r="K93" s="68" t="str">
        <f t="shared" si="22"/>
        <v xml:space="preserve">(NC ) - PASQUOTANK </v>
      </c>
      <c r="L93" s="69">
        <v>875000</v>
      </c>
      <c r="M93" s="68" t="s">
        <v>775</v>
      </c>
      <c r="N93" s="58"/>
      <c r="R93" s="43" t="s">
        <v>733</v>
      </c>
      <c r="S93" s="43" t="s">
        <v>780</v>
      </c>
      <c r="T93" s="68" t="str">
        <f t="shared" si="23"/>
        <v xml:space="preserve">(NJ) - SOMERSET </v>
      </c>
      <c r="U93" s="70">
        <v>625500</v>
      </c>
      <c r="Y93" s="43" t="s">
        <v>733</v>
      </c>
      <c r="Z93" s="43" t="s">
        <v>757</v>
      </c>
      <c r="AA93" s="68" t="str">
        <f t="shared" si="24"/>
        <v xml:space="preserve">(NJ) - MONMOUTH </v>
      </c>
      <c r="AB93" s="59">
        <v>777500</v>
      </c>
      <c r="AF93" s="68" t="s">
        <v>733</v>
      </c>
      <c r="AG93" s="68" t="s">
        <v>764</v>
      </c>
      <c r="AH93" s="68" t="str">
        <f t="shared" si="25"/>
        <v xml:space="preserve">(NJ) - MORRIS </v>
      </c>
      <c r="AI93" s="71">
        <v>722500</v>
      </c>
      <c r="AK93" s="82" t="s">
        <v>658</v>
      </c>
      <c r="AL93" s="83" t="s">
        <v>726</v>
      </c>
      <c r="AM93" s="74" t="str">
        <f t="shared" si="26"/>
        <v>(MD) - FREDERICK</v>
      </c>
      <c r="AN93" s="84">
        <v>692500</v>
      </c>
      <c r="AP93" s="72" t="s">
        <v>617</v>
      </c>
      <c r="AQ93" s="73" t="s">
        <v>717</v>
      </c>
      <c r="AR93" s="74" t="str">
        <f t="shared" si="35"/>
        <v>(MA) - ESSEX</v>
      </c>
      <c r="AS93" s="75">
        <v>511250</v>
      </c>
      <c r="AU93" s="35" t="s">
        <v>658</v>
      </c>
      <c r="AV93" s="36" t="s">
        <v>759</v>
      </c>
      <c r="AW93" s="74" t="str">
        <f t="shared" si="32"/>
        <v>(MD) - CALVERT</v>
      </c>
      <c r="AX93" s="76">
        <v>625500</v>
      </c>
      <c r="AZ93" s="37" t="s">
        <v>617</v>
      </c>
      <c r="BA93" s="38" t="s">
        <v>717</v>
      </c>
      <c r="BB93" s="74" t="str">
        <f t="shared" si="33"/>
        <v>(MA) - ESSEX</v>
      </c>
      <c r="BC93" s="76">
        <v>523250</v>
      </c>
      <c r="BE93" s="39" t="s">
        <v>617</v>
      </c>
      <c r="BF93" s="40" t="s">
        <v>712</v>
      </c>
      <c r="BG93" s="41" t="str">
        <f t="shared" si="27"/>
        <v>(MA) - DUKES</v>
      </c>
      <c r="BH93" s="77">
        <v>636150</v>
      </c>
      <c r="BK93" s="37" t="s">
        <v>658</v>
      </c>
      <c r="BL93" s="38" t="s">
        <v>726</v>
      </c>
      <c r="BM93" s="43" t="str">
        <f t="shared" si="34"/>
        <v>(MD) - FREDERICK</v>
      </c>
      <c r="BN93" s="76">
        <v>679650</v>
      </c>
      <c r="BQ93" s="38" t="s">
        <v>781</v>
      </c>
      <c r="BR93" s="37" t="s">
        <v>658</v>
      </c>
      <c r="BS93" s="78" t="str">
        <f t="shared" si="28"/>
        <v>(MD) - HARFORD</v>
      </c>
      <c r="BT93" s="79">
        <v>517500</v>
      </c>
      <c r="BW93" s="38" t="s">
        <v>708</v>
      </c>
      <c r="BX93" s="37" t="s">
        <v>658</v>
      </c>
      <c r="BY93" s="78" t="str">
        <f t="shared" si="29"/>
        <v xml:space="preserve">(MD) - MONTGOMERY </v>
      </c>
      <c r="BZ93" s="80">
        <v>765600</v>
      </c>
      <c r="CC93" s="43" t="s">
        <v>760</v>
      </c>
      <c r="CD93" s="43" t="s">
        <v>761</v>
      </c>
      <c r="CE93" s="37" t="s">
        <v>617</v>
      </c>
      <c r="CF93" s="81" t="str">
        <f t="shared" si="20"/>
        <v>(MA) - NORFOLK COUNTY</v>
      </c>
      <c r="CG93" s="59">
        <v>724500</v>
      </c>
      <c r="CH93" s="59"/>
      <c r="CI93" s="263" t="s">
        <v>777</v>
      </c>
      <c r="CJ93" s="264" t="s">
        <v>720</v>
      </c>
      <c r="CK93" s="265">
        <v>770500</v>
      </c>
      <c r="CM93" s="43" t="str">
        <f t="shared" si="21"/>
        <v>(NH) - ROCKINGHAM COUNTY</v>
      </c>
      <c r="CN93" s="269">
        <f t="shared" si="19"/>
        <v>770500</v>
      </c>
      <c r="CO93" s="269"/>
      <c r="CQ93" s="266" t="s">
        <v>782</v>
      </c>
      <c r="CR93" s="267" t="s">
        <v>720</v>
      </c>
      <c r="CS93" s="268">
        <v>828000</v>
      </c>
      <c r="CV93" s="43" t="str">
        <f t="shared" si="30"/>
        <v>(NH) - ROCKINGHAM COUNTY</v>
      </c>
      <c r="CW93" s="70">
        <f t="shared" si="31"/>
        <v>828000</v>
      </c>
    </row>
    <row r="94" spans="6:101" ht="15.75" thickBot="1" x14ac:dyDescent="0.3">
      <c r="F94" s="43" t="s">
        <v>783</v>
      </c>
      <c r="G94" s="58">
        <v>940000</v>
      </c>
      <c r="H94" s="58"/>
      <c r="I94" s="43" t="s">
        <v>773</v>
      </c>
      <c r="J94" s="68" t="s">
        <v>784</v>
      </c>
      <c r="K94" s="68" t="str">
        <f t="shared" si="22"/>
        <v xml:space="preserve">(NC ) - PERQUIMANS </v>
      </c>
      <c r="L94" s="69">
        <v>875000</v>
      </c>
      <c r="M94" s="68" t="s">
        <v>775</v>
      </c>
      <c r="N94" s="58"/>
      <c r="R94" s="43" t="s">
        <v>733</v>
      </c>
      <c r="S94" s="43" t="s">
        <v>785</v>
      </c>
      <c r="T94" s="68" t="str">
        <f t="shared" si="23"/>
        <v xml:space="preserve">(NJ) - SUSSEX </v>
      </c>
      <c r="U94" s="70">
        <v>625500</v>
      </c>
      <c r="Y94" s="43" t="s">
        <v>733</v>
      </c>
      <c r="Z94" s="43" t="s">
        <v>764</v>
      </c>
      <c r="AA94" s="68" t="str">
        <f t="shared" si="24"/>
        <v xml:space="preserve">(NJ) - MORRIS </v>
      </c>
      <c r="AB94" s="59">
        <v>777500</v>
      </c>
      <c r="AF94" s="68" t="s">
        <v>733</v>
      </c>
      <c r="AG94" s="68" t="s">
        <v>769</v>
      </c>
      <c r="AH94" s="68" t="str">
        <f t="shared" si="25"/>
        <v xml:space="preserve">(NJ) - OCEAN </v>
      </c>
      <c r="AI94" s="71">
        <v>722500</v>
      </c>
      <c r="AK94" s="72" t="s">
        <v>658</v>
      </c>
      <c r="AL94" s="73" t="s">
        <v>781</v>
      </c>
      <c r="AM94" s="74" t="str">
        <f t="shared" si="26"/>
        <v>(MD) - HARFORD</v>
      </c>
      <c r="AN94" s="75">
        <v>500000</v>
      </c>
      <c r="AP94" s="72" t="s">
        <v>617</v>
      </c>
      <c r="AQ94" s="73" t="s">
        <v>668</v>
      </c>
      <c r="AR94" s="74" t="str">
        <f t="shared" si="35"/>
        <v>(MA) - MIDDLESEX</v>
      </c>
      <c r="AS94" s="75">
        <v>511250</v>
      </c>
      <c r="AU94" s="35" t="s">
        <v>658</v>
      </c>
      <c r="AV94" s="36" t="s">
        <v>765</v>
      </c>
      <c r="AW94" s="74" t="str">
        <f t="shared" si="32"/>
        <v>(MD) - CARROLL</v>
      </c>
      <c r="AX94" s="76">
        <v>517500</v>
      </c>
      <c r="AZ94" s="37" t="s">
        <v>617</v>
      </c>
      <c r="BA94" s="38" t="s">
        <v>668</v>
      </c>
      <c r="BB94" s="74" t="str">
        <f t="shared" si="33"/>
        <v>(MA) - MIDDLESEX</v>
      </c>
      <c r="BC94" s="76">
        <v>523250</v>
      </c>
      <c r="BE94" s="39" t="s">
        <v>617</v>
      </c>
      <c r="BF94" s="40" t="s">
        <v>717</v>
      </c>
      <c r="BG94" s="41" t="str">
        <f t="shared" si="27"/>
        <v>(MA) - ESSEX</v>
      </c>
      <c r="BH94" s="77">
        <v>598000</v>
      </c>
      <c r="BK94" s="37" t="s">
        <v>658</v>
      </c>
      <c r="BL94" s="38" t="s">
        <v>781</v>
      </c>
      <c r="BM94" s="43" t="str">
        <f t="shared" si="34"/>
        <v>(MD) - HARFORD</v>
      </c>
      <c r="BN94" s="76">
        <v>517500</v>
      </c>
      <c r="BQ94" s="38" t="s">
        <v>786</v>
      </c>
      <c r="BR94" s="37" t="s">
        <v>658</v>
      </c>
      <c r="BS94" s="78" t="str">
        <f t="shared" si="28"/>
        <v>(MD) - HOWARD</v>
      </c>
      <c r="BT94" s="79">
        <v>517500</v>
      </c>
      <c r="BW94" s="38" t="s">
        <v>711</v>
      </c>
      <c r="BX94" s="37" t="s">
        <v>658</v>
      </c>
      <c r="BY94" s="78" t="str">
        <f t="shared" si="29"/>
        <v xml:space="preserve">(MD) - PRINCE GEORGE'S </v>
      </c>
      <c r="BZ94" s="80">
        <v>765600</v>
      </c>
      <c r="CC94" s="43" t="s">
        <v>760</v>
      </c>
      <c r="CD94" s="43" t="s">
        <v>766</v>
      </c>
      <c r="CE94" s="37" t="s">
        <v>617</v>
      </c>
      <c r="CF94" s="81" t="str">
        <f t="shared" si="20"/>
        <v>(MA) - PLYMOUTH COUNTY</v>
      </c>
      <c r="CG94" s="59">
        <v>724500</v>
      </c>
      <c r="CH94" s="59"/>
      <c r="CI94" s="266" t="s">
        <v>782</v>
      </c>
      <c r="CJ94" s="267" t="s">
        <v>720</v>
      </c>
      <c r="CK94" s="268">
        <v>770500</v>
      </c>
      <c r="CM94" s="43" t="str">
        <f t="shared" si="21"/>
        <v>(NH) - STRAFFORD COUNTY</v>
      </c>
      <c r="CN94" s="269">
        <f t="shared" si="19"/>
        <v>770500</v>
      </c>
      <c r="CO94" s="269"/>
      <c r="CQ94" s="263" t="s">
        <v>787</v>
      </c>
      <c r="CR94" s="264" t="s">
        <v>733</v>
      </c>
      <c r="CS94" s="265">
        <v>1089300</v>
      </c>
      <c r="CV94" s="43" t="str">
        <f t="shared" si="30"/>
        <v>(NH) - STRAFFORD COUNTY</v>
      </c>
      <c r="CW94" s="70">
        <f t="shared" si="31"/>
        <v>828000</v>
      </c>
    </row>
    <row r="95" spans="6:101" ht="15.75" thickBot="1" x14ac:dyDescent="0.3">
      <c r="F95" s="43" t="s">
        <v>788</v>
      </c>
      <c r="G95" s="58">
        <v>940000</v>
      </c>
      <c r="H95" s="58"/>
      <c r="I95" s="43" t="s">
        <v>789</v>
      </c>
      <c r="J95" s="68" t="s">
        <v>721</v>
      </c>
      <c r="K95" s="68" t="str">
        <f t="shared" si="22"/>
        <v xml:space="preserve">(NH ) - ROCKINGHAM </v>
      </c>
      <c r="L95" s="69">
        <v>493750</v>
      </c>
      <c r="M95" s="68" t="s">
        <v>585</v>
      </c>
      <c r="N95" s="58"/>
      <c r="R95" s="43" t="s">
        <v>733</v>
      </c>
      <c r="S95" s="43" t="s">
        <v>790</v>
      </c>
      <c r="T95" s="68" t="str">
        <f t="shared" si="23"/>
        <v xml:space="preserve">(NJ) - UNION </v>
      </c>
      <c r="U95" s="70">
        <v>625500</v>
      </c>
      <c r="Y95" s="43" t="s">
        <v>733</v>
      </c>
      <c r="Z95" s="43" t="s">
        <v>769</v>
      </c>
      <c r="AA95" s="68" t="str">
        <f t="shared" si="24"/>
        <v xml:space="preserve">(NJ) - OCEAN </v>
      </c>
      <c r="AB95" s="59">
        <v>777500</v>
      </c>
      <c r="AF95" s="68" t="s">
        <v>733</v>
      </c>
      <c r="AG95" s="68" t="s">
        <v>776</v>
      </c>
      <c r="AH95" s="68" t="str">
        <f t="shared" si="25"/>
        <v xml:space="preserve">(NJ) - PASSAIC </v>
      </c>
      <c r="AI95" s="71">
        <v>722500</v>
      </c>
      <c r="AK95" s="72" t="s">
        <v>658</v>
      </c>
      <c r="AL95" s="73" t="s">
        <v>786</v>
      </c>
      <c r="AM95" s="74" t="str">
        <f t="shared" si="26"/>
        <v>(MD) - HOWARD</v>
      </c>
      <c r="AN95" s="75">
        <v>500000</v>
      </c>
      <c r="AP95" s="72" t="s">
        <v>617</v>
      </c>
      <c r="AQ95" s="73" t="s">
        <v>728</v>
      </c>
      <c r="AR95" s="74" t="str">
        <f t="shared" si="35"/>
        <v>(MA) - NANTUCKET</v>
      </c>
      <c r="AS95" s="75">
        <v>1094625</v>
      </c>
      <c r="AU95" s="35" t="s">
        <v>658</v>
      </c>
      <c r="AV95" s="36" t="s">
        <v>770</v>
      </c>
      <c r="AW95" s="74" t="str">
        <f t="shared" si="32"/>
        <v>(MD) - CHARLES</v>
      </c>
      <c r="AX95" s="76">
        <v>625500</v>
      </c>
      <c r="AZ95" s="37" t="s">
        <v>617</v>
      </c>
      <c r="BA95" s="38" t="s">
        <v>728</v>
      </c>
      <c r="BB95" s="74" t="str">
        <f t="shared" si="33"/>
        <v>(MA) - NANTUCKET</v>
      </c>
      <c r="BC95" s="76">
        <v>625500</v>
      </c>
      <c r="BE95" s="39" t="s">
        <v>617</v>
      </c>
      <c r="BF95" s="40" t="s">
        <v>668</v>
      </c>
      <c r="BG95" s="41" t="str">
        <f t="shared" si="27"/>
        <v>(MA) - MIDDLESEX</v>
      </c>
      <c r="BH95" s="77">
        <v>598000</v>
      </c>
      <c r="BK95" s="37" t="s">
        <v>658</v>
      </c>
      <c r="BL95" s="38" t="s">
        <v>786</v>
      </c>
      <c r="BM95" s="43" t="str">
        <f t="shared" si="34"/>
        <v>(MD) - HOWARD</v>
      </c>
      <c r="BN95" s="76">
        <v>517500</v>
      </c>
      <c r="BQ95" s="38" t="s">
        <v>791</v>
      </c>
      <c r="BR95" s="37" t="s">
        <v>658</v>
      </c>
      <c r="BS95" s="78" t="str">
        <f t="shared" si="28"/>
        <v>(MD) - MONTGOMERY</v>
      </c>
      <c r="BT95" s="79">
        <v>726525</v>
      </c>
      <c r="BW95" s="38" t="s">
        <v>716</v>
      </c>
      <c r="BX95" s="37" t="s">
        <v>658</v>
      </c>
      <c r="BY95" s="78" t="str">
        <f t="shared" si="29"/>
        <v xml:space="preserve">(MD) - QUEEN ANNE'S </v>
      </c>
      <c r="BZ95" s="80">
        <v>520950</v>
      </c>
      <c r="CC95" s="43" t="s">
        <v>760</v>
      </c>
      <c r="CD95" s="43" t="s">
        <v>771</v>
      </c>
      <c r="CE95" s="37" t="s">
        <v>617</v>
      </c>
      <c r="CF95" s="81" t="str">
        <f t="shared" si="20"/>
        <v>(MA) - SUFFOLK COUNTY</v>
      </c>
      <c r="CG95" s="59">
        <v>724500</v>
      </c>
      <c r="CH95" s="59"/>
      <c r="CI95" s="263" t="s">
        <v>787</v>
      </c>
      <c r="CJ95" s="264" t="s">
        <v>733</v>
      </c>
      <c r="CK95" s="265">
        <v>970800</v>
      </c>
      <c r="CM95" s="43" t="str">
        <f t="shared" si="21"/>
        <v>(NJ) - BERGEN COUNTY</v>
      </c>
      <c r="CN95" s="269">
        <f t="shared" si="19"/>
        <v>970800</v>
      </c>
      <c r="CO95" s="269"/>
      <c r="CQ95" s="266" t="s">
        <v>747</v>
      </c>
      <c r="CR95" s="267" t="s">
        <v>733</v>
      </c>
      <c r="CS95" s="268">
        <v>1089300</v>
      </c>
      <c r="CV95" s="43" t="str">
        <f t="shared" si="30"/>
        <v>(NJ) - BERGEN COUNTY</v>
      </c>
      <c r="CW95" s="70">
        <f t="shared" si="31"/>
        <v>1089300</v>
      </c>
    </row>
    <row r="96" spans="6:101" ht="15.75" thickBot="1" x14ac:dyDescent="0.3">
      <c r="F96" s="43" t="s">
        <v>792</v>
      </c>
      <c r="G96" s="58">
        <v>475000</v>
      </c>
      <c r="H96" s="58"/>
      <c r="I96" s="43" t="s">
        <v>789</v>
      </c>
      <c r="J96" s="68" t="s">
        <v>727</v>
      </c>
      <c r="K96" s="68" t="str">
        <f t="shared" si="22"/>
        <v xml:space="preserve">(NH ) - STRAFFORD </v>
      </c>
      <c r="L96" s="69">
        <v>493750</v>
      </c>
      <c r="M96" s="68" t="s">
        <v>585</v>
      </c>
      <c r="N96" s="58"/>
      <c r="R96" s="43" t="s">
        <v>793</v>
      </c>
      <c r="S96" s="43" t="s">
        <v>794</v>
      </c>
      <c r="T96" s="68" t="str">
        <f t="shared" si="23"/>
        <v xml:space="preserve">(NY) - BRONX </v>
      </c>
      <c r="U96" s="70">
        <v>625500</v>
      </c>
      <c r="Y96" s="43" t="s">
        <v>733</v>
      </c>
      <c r="Z96" s="43" t="s">
        <v>776</v>
      </c>
      <c r="AA96" s="68" t="str">
        <f t="shared" si="24"/>
        <v xml:space="preserve">(NJ) - PASSAIC </v>
      </c>
      <c r="AB96" s="59">
        <v>777500</v>
      </c>
      <c r="AF96" s="68" t="s">
        <v>733</v>
      </c>
      <c r="AG96" s="68" t="s">
        <v>780</v>
      </c>
      <c r="AH96" s="68" t="str">
        <f t="shared" si="25"/>
        <v xml:space="preserve">(NJ) - SOMERSET </v>
      </c>
      <c r="AI96" s="71">
        <v>722500</v>
      </c>
      <c r="AK96" s="72" t="s">
        <v>658</v>
      </c>
      <c r="AL96" s="73" t="s">
        <v>791</v>
      </c>
      <c r="AM96" s="74" t="str">
        <f t="shared" si="26"/>
        <v>(MD) - MONTGOMERY</v>
      </c>
      <c r="AN96" s="75">
        <v>692500</v>
      </c>
      <c r="AP96" s="72" t="s">
        <v>617</v>
      </c>
      <c r="AQ96" s="73" t="s">
        <v>735</v>
      </c>
      <c r="AR96" s="74" t="str">
        <f t="shared" si="35"/>
        <v>(MA) - NORFOLK</v>
      </c>
      <c r="AS96" s="75">
        <v>511250</v>
      </c>
      <c r="AU96" s="35" t="s">
        <v>658</v>
      </c>
      <c r="AV96" s="36" t="s">
        <v>726</v>
      </c>
      <c r="AW96" s="74" t="str">
        <f t="shared" si="32"/>
        <v>(MD) - FREDERICK</v>
      </c>
      <c r="AX96" s="76">
        <v>625500</v>
      </c>
      <c r="AZ96" s="37" t="s">
        <v>617</v>
      </c>
      <c r="BA96" s="38" t="s">
        <v>735</v>
      </c>
      <c r="BB96" s="74" t="str">
        <f t="shared" si="33"/>
        <v>(MA) - NORFOLK</v>
      </c>
      <c r="BC96" s="76">
        <v>523250</v>
      </c>
      <c r="BE96" s="39" t="s">
        <v>617</v>
      </c>
      <c r="BF96" s="40" t="s">
        <v>728</v>
      </c>
      <c r="BG96" s="41" t="str">
        <f t="shared" si="27"/>
        <v>(MA) - NANTUCKET</v>
      </c>
      <c r="BH96" s="77">
        <v>636150</v>
      </c>
      <c r="BK96" s="37" t="s">
        <v>658</v>
      </c>
      <c r="BL96" s="38" t="s">
        <v>791</v>
      </c>
      <c r="BM96" s="43" t="str">
        <f t="shared" si="34"/>
        <v>(MD) - MONTGOMERY</v>
      </c>
      <c r="BN96" s="76">
        <v>679650</v>
      </c>
      <c r="BQ96" s="38" t="s">
        <v>795</v>
      </c>
      <c r="BR96" s="37" t="s">
        <v>658</v>
      </c>
      <c r="BS96" s="78" t="str">
        <f t="shared" si="28"/>
        <v>(MD) - PRINCE GEORGE'S</v>
      </c>
      <c r="BT96" s="79">
        <v>726525</v>
      </c>
      <c r="BW96" s="38" t="s">
        <v>758</v>
      </c>
      <c r="BX96" s="37" t="s">
        <v>658</v>
      </c>
      <c r="BY96" s="78" t="str">
        <f t="shared" si="29"/>
        <v>(MD) - BALTIMORE CITY</v>
      </c>
      <c r="BZ96" s="80">
        <v>520950</v>
      </c>
      <c r="CC96" s="43" t="s">
        <v>796</v>
      </c>
      <c r="CD96" s="43" t="s">
        <v>777</v>
      </c>
      <c r="CE96" s="37" t="s">
        <v>720</v>
      </c>
      <c r="CF96" s="81" t="str">
        <f t="shared" si="20"/>
        <v>(NH) - ROCKINGHAM COUNTY</v>
      </c>
      <c r="CG96" s="59">
        <v>724500</v>
      </c>
      <c r="CH96" s="59"/>
      <c r="CI96" s="266" t="s">
        <v>747</v>
      </c>
      <c r="CJ96" s="267" t="s">
        <v>733</v>
      </c>
      <c r="CK96" s="268">
        <v>970800</v>
      </c>
      <c r="CM96" s="43" t="str">
        <f t="shared" si="21"/>
        <v>(NJ) - ESSEX COUNTY</v>
      </c>
      <c r="CN96" s="269">
        <f t="shared" si="19"/>
        <v>970800</v>
      </c>
      <c r="CO96" s="269"/>
      <c r="CQ96" s="263" t="s">
        <v>797</v>
      </c>
      <c r="CR96" s="264" t="s">
        <v>733</v>
      </c>
      <c r="CS96" s="265">
        <v>1089300</v>
      </c>
      <c r="CV96" s="43" t="str">
        <f t="shared" si="30"/>
        <v>(NJ) - ESSEX COUNTY</v>
      </c>
      <c r="CW96" s="70">
        <f t="shared" si="31"/>
        <v>1089300</v>
      </c>
    </row>
    <row r="97" spans="6:101" ht="15.75" thickBot="1" x14ac:dyDescent="0.3">
      <c r="F97" s="43" t="s">
        <v>798</v>
      </c>
      <c r="G97" s="58">
        <v>475000</v>
      </c>
      <c r="H97" s="58"/>
      <c r="I97" s="43" t="s">
        <v>799</v>
      </c>
      <c r="J97" s="68" t="s">
        <v>734</v>
      </c>
      <c r="K97" s="68" t="str">
        <f t="shared" si="22"/>
        <v xml:space="preserve">(NJ ) - BERGEN </v>
      </c>
      <c r="L97" s="69">
        <v>735000</v>
      </c>
      <c r="M97" s="68" t="s">
        <v>800</v>
      </c>
      <c r="N97" s="58"/>
      <c r="R97" s="43" t="s">
        <v>793</v>
      </c>
      <c r="S97" s="43" t="s">
        <v>801</v>
      </c>
      <c r="T97" s="68" t="str">
        <f t="shared" si="23"/>
        <v xml:space="preserve">(NY) - KINGS </v>
      </c>
      <c r="U97" s="70">
        <v>625500</v>
      </c>
      <c r="Y97" s="43" t="s">
        <v>733</v>
      </c>
      <c r="Z97" s="43" t="s">
        <v>780</v>
      </c>
      <c r="AA97" s="68" t="str">
        <f t="shared" si="24"/>
        <v xml:space="preserve">(NJ) - SOMERSET </v>
      </c>
      <c r="AB97" s="59">
        <v>777500</v>
      </c>
      <c r="AF97" s="68" t="s">
        <v>733</v>
      </c>
      <c r="AG97" s="68" t="s">
        <v>785</v>
      </c>
      <c r="AH97" s="68" t="str">
        <f t="shared" si="25"/>
        <v xml:space="preserve">(NJ) - SUSSEX </v>
      </c>
      <c r="AI97" s="71">
        <v>722500</v>
      </c>
      <c r="AK97" s="72" t="s">
        <v>658</v>
      </c>
      <c r="AL97" s="73" t="s">
        <v>795</v>
      </c>
      <c r="AM97" s="74" t="str">
        <f t="shared" si="26"/>
        <v>(MD) - PRINCE GEORGE'S</v>
      </c>
      <c r="AN97" s="75">
        <v>692500</v>
      </c>
      <c r="AP97" s="72" t="s">
        <v>617</v>
      </c>
      <c r="AQ97" s="73" t="s">
        <v>740</v>
      </c>
      <c r="AR97" s="74" t="str">
        <f t="shared" si="35"/>
        <v>(MA) - PLYMOUTH</v>
      </c>
      <c r="AS97" s="75">
        <v>511250</v>
      </c>
      <c r="AU97" s="35" t="s">
        <v>658</v>
      </c>
      <c r="AV97" s="36" t="s">
        <v>781</v>
      </c>
      <c r="AW97" s="74" t="str">
        <f t="shared" si="32"/>
        <v>(MD) - HARFORD</v>
      </c>
      <c r="AX97" s="76">
        <v>517500</v>
      </c>
      <c r="AZ97" s="37" t="s">
        <v>617</v>
      </c>
      <c r="BA97" s="38" t="s">
        <v>740</v>
      </c>
      <c r="BB97" s="74" t="str">
        <f t="shared" si="33"/>
        <v>(MA) - PLYMOUTH</v>
      </c>
      <c r="BC97" s="76">
        <v>523250</v>
      </c>
      <c r="BE97" s="39" t="s">
        <v>617</v>
      </c>
      <c r="BF97" s="40" t="s">
        <v>735</v>
      </c>
      <c r="BG97" s="41" t="str">
        <f t="shared" si="27"/>
        <v>(MA) - NORFOLK</v>
      </c>
      <c r="BH97" s="77">
        <v>598000</v>
      </c>
      <c r="BK97" s="37" t="s">
        <v>658</v>
      </c>
      <c r="BL97" s="38" t="s">
        <v>795</v>
      </c>
      <c r="BM97" s="43" t="str">
        <f t="shared" si="34"/>
        <v>(MD) - PRINCE GEORGE'S</v>
      </c>
      <c r="BN97" s="76">
        <v>679650</v>
      </c>
      <c r="BQ97" s="38" t="s">
        <v>802</v>
      </c>
      <c r="BR97" s="37" t="s">
        <v>658</v>
      </c>
      <c r="BS97" s="78" t="str">
        <f t="shared" si="28"/>
        <v>(MD) - QUEEN ANNE'S</v>
      </c>
      <c r="BT97" s="79">
        <v>517500</v>
      </c>
      <c r="BW97" s="38" t="s">
        <v>618</v>
      </c>
      <c r="BX97" s="37" t="s">
        <v>617</v>
      </c>
      <c r="BY97" s="78" t="str">
        <f t="shared" si="29"/>
        <v xml:space="preserve">(MA) - DUKES </v>
      </c>
      <c r="BZ97" s="80">
        <v>765600</v>
      </c>
      <c r="CC97" s="43" t="s">
        <v>796</v>
      </c>
      <c r="CD97" s="43" t="s">
        <v>782</v>
      </c>
      <c r="CE97" s="37" t="s">
        <v>720</v>
      </c>
      <c r="CF97" s="81" t="str">
        <f t="shared" si="20"/>
        <v>(NH) - STRAFFORD COUNTY</v>
      </c>
      <c r="CG97" s="59">
        <v>724500</v>
      </c>
      <c r="CH97" s="59"/>
      <c r="CI97" s="263" t="s">
        <v>797</v>
      </c>
      <c r="CJ97" s="264" t="s">
        <v>733</v>
      </c>
      <c r="CK97" s="265">
        <v>970800</v>
      </c>
      <c r="CM97" s="43" t="str">
        <f t="shared" si="21"/>
        <v>(NJ) - HUDSON COUNTY</v>
      </c>
      <c r="CN97" s="269">
        <f t="shared" si="19"/>
        <v>970800</v>
      </c>
      <c r="CO97" s="269"/>
      <c r="CQ97" s="266" t="s">
        <v>803</v>
      </c>
      <c r="CR97" s="267" t="s">
        <v>733</v>
      </c>
      <c r="CS97" s="268">
        <v>1089300</v>
      </c>
      <c r="CV97" s="43" t="str">
        <f t="shared" si="30"/>
        <v>(NJ) - HUDSON COUNTY</v>
      </c>
      <c r="CW97" s="70">
        <f t="shared" si="31"/>
        <v>1089300</v>
      </c>
    </row>
    <row r="98" spans="6:101" ht="15.75" thickBot="1" x14ac:dyDescent="0.3">
      <c r="F98" s="43" t="s">
        <v>804</v>
      </c>
      <c r="G98" s="58">
        <v>681250</v>
      </c>
      <c r="H98" s="58"/>
      <c r="I98" s="43" t="s">
        <v>799</v>
      </c>
      <c r="J98" s="68" t="s">
        <v>623</v>
      </c>
      <c r="K98" s="68" t="str">
        <f t="shared" si="22"/>
        <v xml:space="preserve">(NJ ) - ESSEX </v>
      </c>
      <c r="L98" s="69">
        <v>735000</v>
      </c>
      <c r="M98" s="68" t="s">
        <v>800</v>
      </c>
      <c r="N98" s="58"/>
      <c r="R98" s="43" t="s">
        <v>793</v>
      </c>
      <c r="S98" s="43" t="s">
        <v>805</v>
      </c>
      <c r="T98" s="68" t="str">
        <f t="shared" si="23"/>
        <v xml:space="preserve">(NY) - NASSAU </v>
      </c>
      <c r="U98" s="70">
        <v>625500</v>
      </c>
      <c r="Y98" s="43" t="s">
        <v>733</v>
      </c>
      <c r="Z98" s="43" t="s">
        <v>785</v>
      </c>
      <c r="AA98" s="68" t="str">
        <f t="shared" si="24"/>
        <v xml:space="preserve">(NJ) - SUSSEX </v>
      </c>
      <c r="AB98" s="59">
        <v>777500</v>
      </c>
      <c r="AF98" s="68" t="s">
        <v>733</v>
      </c>
      <c r="AG98" s="68" t="s">
        <v>790</v>
      </c>
      <c r="AH98" s="68" t="str">
        <f t="shared" si="25"/>
        <v xml:space="preserve">(NJ) - UNION </v>
      </c>
      <c r="AI98" s="71">
        <v>722500</v>
      </c>
      <c r="AK98" s="72" t="s">
        <v>658</v>
      </c>
      <c r="AL98" s="73" t="s">
        <v>802</v>
      </c>
      <c r="AM98" s="74" t="str">
        <f t="shared" si="26"/>
        <v>(MD) - QUEEN ANNE'S</v>
      </c>
      <c r="AN98" s="75">
        <v>500000</v>
      </c>
      <c r="AP98" s="72" t="s">
        <v>617</v>
      </c>
      <c r="AQ98" s="73" t="s">
        <v>745</v>
      </c>
      <c r="AR98" s="74" t="str">
        <f t="shared" si="35"/>
        <v>(MA) - SUFFOLK</v>
      </c>
      <c r="AS98" s="75">
        <v>511250</v>
      </c>
      <c r="AU98" s="35" t="s">
        <v>658</v>
      </c>
      <c r="AV98" s="36" t="s">
        <v>786</v>
      </c>
      <c r="AW98" s="74" t="str">
        <f t="shared" si="32"/>
        <v>(MD) - HOWARD</v>
      </c>
      <c r="AX98" s="76">
        <v>517500</v>
      </c>
      <c r="AZ98" s="37" t="s">
        <v>617</v>
      </c>
      <c r="BA98" s="38" t="s">
        <v>745</v>
      </c>
      <c r="BB98" s="74" t="str">
        <f t="shared" si="33"/>
        <v>(MA) - SUFFOLK</v>
      </c>
      <c r="BC98" s="76">
        <v>523250</v>
      </c>
      <c r="BE98" s="39" t="s">
        <v>617</v>
      </c>
      <c r="BF98" s="40" t="s">
        <v>740</v>
      </c>
      <c r="BG98" s="41" t="str">
        <f t="shared" si="27"/>
        <v>(MA) - PLYMOUTH</v>
      </c>
      <c r="BH98" s="77">
        <v>598000</v>
      </c>
      <c r="BK98" s="37" t="s">
        <v>658</v>
      </c>
      <c r="BL98" s="38" t="s">
        <v>802</v>
      </c>
      <c r="BM98" s="43" t="str">
        <f t="shared" si="34"/>
        <v>(MD) - QUEEN ANNE'S</v>
      </c>
      <c r="BN98" s="76">
        <v>517500</v>
      </c>
      <c r="BQ98" s="38" t="s">
        <v>758</v>
      </c>
      <c r="BR98" s="37" t="s">
        <v>658</v>
      </c>
      <c r="BS98" s="78" t="str">
        <f t="shared" si="28"/>
        <v>(MD) - BALTIMORE CITY</v>
      </c>
      <c r="BT98" s="79">
        <v>517500</v>
      </c>
      <c r="BW98" s="38" t="s">
        <v>623</v>
      </c>
      <c r="BX98" s="37" t="s">
        <v>617</v>
      </c>
      <c r="BY98" s="78" t="str">
        <f t="shared" si="29"/>
        <v xml:space="preserve">(MA) - ESSEX </v>
      </c>
      <c r="BZ98" s="80">
        <v>690000</v>
      </c>
      <c r="CC98" s="43" t="s">
        <v>806</v>
      </c>
      <c r="CD98" s="43" t="s">
        <v>787</v>
      </c>
      <c r="CE98" s="37" t="s">
        <v>733</v>
      </c>
      <c r="CF98" s="81" t="str">
        <f t="shared" si="20"/>
        <v>(NJ) - BERGEN COUNTY</v>
      </c>
      <c r="CG98" s="59">
        <v>822375</v>
      </c>
      <c r="CH98" s="59"/>
      <c r="CI98" s="266" t="s">
        <v>803</v>
      </c>
      <c r="CJ98" s="267" t="s">
        <v>733</v>
      </c>
      <c r="CK98" s="268">
        <v>970800</v>
      </c>
      <c r="CM98" s="43" t="str">
        <f t="shared" si="21"/>
        <v>(NJ) - HUNTERDON COUNTY</v>
      </c>
      <c r="CN98" s="269">
        <f t="shared" ref="CN98:CN129" si="36">CK98</f>
        <v>970800</v>
      </c>
      <c r="CO98" s="269"/>
      <c r="CQ98" s="263" t="s">
        <v>751</v>
      </c>
      <c r="CR98" s="264" t="s">
        <v>733</v>
      </c>
      <c r="CS98" s="265">
        <v>1089300</v>
      </c>
      <c r="CV98" s="43" t="str">
        <f t="shared" si="30"/>
        <v>(NJ) - HUNTERDON COUNTY</v>
      </c>
      <c r="CW98" s="70">
        <f t="shared" si="31"/>
        <v>1089300</v>
      </c>
    </row>
    <row r="99" spans="6:101" ht="15.75" thickBot="1" x14ac:dyDescent="0.3">
      <c r="F99" s="43" t="s">
        <v>807</v>
      </c>
      <c r="G99" s="58">
        <v>681250</v>
      </c>
      <c r="H99" s="58"/>
      <c r="I99" s="43" t="s">
        <v>799</v>
      </c>
      <c r="J99" s="68" t="s">
        <v>744</v>
      </c>
      <c r="K99" s="68" t="str">
        <f t="shared" si="22"/>
        <v xml:space="preserve">(NJ ) - HUDSON </v>
      </c>
      <c r="L99" s="69">
        <v>735000</v>
      </c>
      <c r="M99" s="68" t="s">
        <v>800</v>
      </c>
      <c r="N99" s="58"/>
      <c r="R99" s="43" t="s">
        <v>793</v>
      </c>
      <c r="S99" s="43" t="s">
        <v>808</v>
      </c>
      <c r="T99" s="68" t="str">
        <f t="shared" si="23"/>
        <v xml:space="preserve">(NY) - NEW YORK </v>
      </c>
      <c r="U99" s="70">
        <v>625500</v>
      </c>
      <c r="Y99" s="43" t="s">
        <v>733</v>
      </c>
      <c r="Z99" s="43" t="s">
        <v>790</v>
      </c>
      <c r="AA99" s="68" t="str">
        <f t="shared" si="24"/>
        <v xml:space="preserve">(NJ) - UNION </v>
      </c>
      <c r="AB99" s="59">
        <v>777500</v>
      </c>
      <c r="AF99" s="68" t="s">
        <v>793</v>
      </c>
      <c r="AG99" s="68" t="s">
        <v>794</v>
      </c>
      <c r="AH99" s="68" t="str">
        <f t="shared" si="25"/>
        <v xml:space="preserve">(NY) - BRONX </v>
      </c>
      <c r="AI99" s="71">
        <v>722500</v>
      </c>
      <c r="AK99" s="85" t="s">
        <v>809</v>
      </c>
      <c r="AL99" s="86" t="s">
        <v>810</v>
      </c>
      <c r="AM99" s="74" t="str">
        <f t="shared" si="26"/>
        <v>(MP) - ANA ISLANDSTINIAN MUNICIPA</v>
      </c>
      <c r="AN99" s="87">
        <v>418750</v>
      </c>
      <c r="AP99" s="72" t="s">
        <v>658</v>
      </c>
      <c r="AQ99" s="73" t="s">
        <v>750</v>
      </c>
      <c r="AR99" s="74" t="str">
        <f t="shared" si="35"/>
        <v>(MD) - ANNE ARUNDEL</v>
      </c>
      <c r="AS99" s="75">
        <v>500000</v>
      </c>
      <c r="AU99" s="35" t="s">
        <v>658</v>
      </c>
      <c r="AV99" s="36" t="s">
        <v>791</v>
      </c>
      <c r="AW99" s="74" t="str">
        <f t="shared" si="32"/>
        <v>(MD) - MONTGOMERY</v>
      </c>
      <c r="AX99" s="76">
        <v>625500</v>
      </c>
      <c r="AZ99" s="37" t="s">
        <v>658</v>
      </c>
      <c r="BA99" s="38" t="s">
        <v>750</v>
      </c>
      <c r="BB99" s="74" t="str">
        <f t="shared" si="33"/>
        <v>(MD) - ANNE ARUNDEL</v>
      </c>
      <c r="BC99" s="76">
        <v>517500</v>
      </c>
      <c r="BE99" s="39" t="s">
        <v>617</v>
      </c>
      <c r="BF99" s="40" t="s">
        <v>745</v>
      </c>
      <c r="BG99" s="41" t="str">
        <f t="shared" si="27"/>
        <v>(MA) - SUFFOLK</v>
      </c>
      <c r="BH99" s="77">
        <v>598000</v>
      </c>
      <c r="BK99" s="37" t="s">
        <v>658</v>
      </c>
      <c r="BL99" s="38" t="s">
        <v>758</v>
      </c>
      <c r="BM99" s="43" t="str">
        <f t="shared" si="34"/>
        <v>(MD) - BALTIMORE CITY</v>
      </c>
      <c r="BN99" s="76">
        <v>517500</v>
      </c>
      <c r="BQ99" s="38" t="s">
        <v>712</v>
      </c>
      <c r="BR99" s="37" t="s">
        <v>617</v>
      </c>
      <c r="BS99" s="78" t="str">
        <f t="shared" si="28"/>
        <v>(MA) - DUKES</v>
      </c>
      <c r="BT99" s="79">
        <v>726525</v>
      </c>
      <c r="BW99" s="38" t="s">
        <v>629</v>
      </c>
      <c r="BX99" s="37" t="s">
        <v>617</v>
      </c>
      <c r="BY99" s="78" t="str">
        <f t="shared" si="29"/>
        <v xml:space="preserve">(MA) - MIDDLESEX </v>
      </c>
      <c r="BZ99" s="80">
        <v>690000</v>
      </c>
      <c r="CC99" s="43" t="s">
        <v>806</v>
      </c>
      <c r="CD99" s="43" t="s">
        <v>747</v>
      </c>
      <c r="CE99" s="37" t="s">
        <v>733</v>
      </c>
      <c r="CF99" s="81" t="str">
        <f t="shared" si="20"/>
        <v>(NJ) - ESSEX COUNTY</v>
      </c>
      <c r="CG99" s="59">
        <v>822375</v>
      </c>
      <c r="CH99" s="59"/>
      <c r="CI99" s="263" t="s">
        <v>751</v>
      </c>
      <c r="CJ99" s="264" t="s">
        <v>733</v>
      </c>
      <c r="CK99" s="265">
        <v>970800</v>
      </c>
      <c r="CM99" s="43" t="str">
        <f t="shared" ref="CM99:CM130" si="37">CONCATENATE("(",CJ99,") - ",CI99)</f>
        <v>(NJ) - MIDDLESEX COUNTY</v>
      </c>
      <c r="CN99" s="269">
        <f t="shared" si="36"/>
        <v>970800</v>
      </c>
      <c r="CO99" s="269"/>
      <c r="CQ99" s="266" t="s">
        <v>811</v>
      </c>
      <c r="CR99" s="267" t="s">
        <v>733</v>
      </c>
      <c r="CS99" s="268">
        <v>1089300</v>
      </c>
      <c r="CV99" s="43" t="str">
        <f t="shared" si="30"/>
        <v>(NJ) - MIDDLESEX COUNTY</v>
      </c>
      <c r="CW99" s="70">
        <f t="shared" si="31"/>
        <v>1089300</v>
      </c>
    </row>
    <row r="100" spans="6:101" ht="15.75" thickBot="1" x14ac:dyDescent="0.3">
      <c r="F100" s="43" t="s">
        <v>812</v>
      </c>
      <c r="G100" s="58">
        <v>681250</v>
      </c>
      <c r="H100" s="58"/>
      <c r="I100" s="43" t="s">
        <v>799</v>
      </c>
      <c r="J100" s="68" t="s">
        <v>749</v>
      </c>
      <c r="K100" s="68" t="str">
        <f t="shared" si="22"/>
        <v xml:space="preserve">(NJ ) - HUNTERDON </v>
      </c>
      <c r="L100" s="69">
        <v>735000</v>
      </c>
      <c r="M100" s="68" t="s">
        <v>800</v>
      </c>
      <c r="N100" s="58"/>
      <c r="R100" s="43" t="s">
        <v>793</v>
      </c>
      <c r="S100" s="43" t="s">
        <v>813</v>
      </c>
      <c r="T100" s="68" t="str">
        <f t="shared" si="23"/>
        <v xml:space="preserve">(NY) - PUTNAM </v>
      </c>
      <c r="U100" s="70">
        <v>625500</v>
      </c>
      <c r="Y100" s="43" t="s">
        <v>793</v>
      </c>
      <c r="Z100" s="43" t="s">
        <v>794</v>
      </c>
      <c r="AA100" s="68" t="str">
        <f t="shared" si="24"/>
        <v xml:space="preserve">(NY) - BRONX </v>
      </c>
      <c r="AB100" s="59">
        <v>777500</v>
      </c>
      <c r="AF100" s="68" t="s">
        <v>793</v>
      </c>
      <c r="AG100" s="68" t="s">
        <v>801</v>
      </c>
      <c r="AH100" s="68" t="str">
        <f t="shared" si="25"/>
        <v xml:space="preserve">(NY) - KINGS </v>
      </c>
      <c r="AI100" s="71">
        <v>722500</v>
      </c>
      <c r="AK100" s="72" t="s">
        <v>720</v>
      </c>
      <c r="AL100" s="73" t="s">
        <v>814</v>
      </c>
      <c r="AM100" s="74" t="str">
        <f t="shared" si="26"/>
        <v>(NH) - ROCKINGHAM</v>
      </c>
      <c r="AN100" s="75">
        <v>511250</v>
      </c>
      <c r="AP100" s="72" t="s">
        <v>658</v>
      </c>
      <c r="AQ100" s="73" t="s">
        <v>702</v>
      </c>
      <c r="AR100" s="74" t="str">
        <f t="shared" si="35"/>
        <v>(MD) - BALTIMORE</v>
      </c>
      <c r="AS100" s="75">
        <v>500000</v>
      </c>
      <c r="AU100" s="35" t="s">
        <v>658</v>
      </c>
      <c r="AV100" s="36" t="s">
        <v>795</v>
      </c>
      <c r="AW100" s="74" t="str">
        <f t="shared" si="32"/>
        <v>(MD) - PRINCE GEORGE'S</v>
      </c>
      <c r="AX100" s="76">
        <v>625500</v>
      </c>
      <c r="AZ100" s="37" t="s">
        <v>658</v>
      </c>
      <c r="BA100" s="38" t="s">
        <v>702</v>
      </c>
      <c r="BB100" s="74" t="str">
        <f t="shared" si="33"/>
        <v>(MD) - BALTIMORE</v>
      </c>
      <c r="BC100" s="76">
        <v>517500</v>
      </c>
      <c r="BE100" s="39" t="s">
        <v>658</v>
      </c>
      <c r="BF100" s="40" t="s">
        <v>750</v>
      </c>
      <c r="BG100" s="41" t="str">
        <f t="shared" si="27"/>
        <v>(MD) - ANNE ARUNDEL</v>
      </c>
      <c r="BH100" s="77">
        <v>517500</v>
      </c>
      <c r="BK100" s="37" t="s">
        <v>617</v>
      </c>
      <c r="BL100" s="38" t="s">
        <v>712</v>
      </c>
      <c r="BM100" s="43" t="str">
        <f t="shared" si="34"/>
        <v>(MA) - DUKES</v>
      </c>
      <c r="BN100" s="76">
        <v>679650</v>
      </c>
      <c r="BQ100" s="38" t="s">
        <v>717</v>
      </c>
      <c r="BR100" s="37" t="s">
        <v>617</v>
      </c>
      <c r="BS100" s="78" t="str">
        <f t="shared" si="28"/>
        <v>(MA) - ESSEX</v>
      </c>
      <c r="BT100" s="79">
        <v>688850</v>
      </c>
      <c r="BW100" s="38" t="s">
        <v>634</v>
      </c>
      <c r="BX100" s="37" t="s">
        <v>617</v>
      </c>
      <c r="BY100" s="78" t="str">
        <f t="shared" si="29"/>
        <v xml:space="preserve">(MA) - NANTUCKET </v>
      </c>
      <c r="BZ100" s="80">
        <v>765600</v>
      </c>
      <c r="CC100" s="43" t="s">
        <v>806</v>
      </c>
      <c r="CD100" s="43" t="s">
        <v>797</v>
      </c>
      <c r="CE100" s="37" t="s">
        <v>733</v>
      </c>
      <c r="CF100" s="81" t="str">
        <f t="shared" si="20"/>
        <v>(NJ) - HUDSON COUNTY</v>
      </c>
      <c r="CG100" s="59">
        <v>822375</v>
      </c>
      <c r="CH100" s="59"/>
      <c r="CI100" s="266" t="s">
        <v>811</v>
      </c>
      <c r="CJ100" s="267" t="s">
        <v>733</v>
      </c>
      <c r="CK100" s="268">
        <v>970800</v>
      </c>
      <c r="CM100" s="43" t="str">
        <f t="shared" si="37"/>
        <v>(NJ) - MONMOUTH COUNTY</v>
      </c>
      <c r="CN100" s="269">
        <f t="shared" si="36"/>
        <v>970800</v>
      </c>
      <c r="CO100" s="269"/>
      <c r="CQ100" s="263" t="s">
        <v>815</v>
      </c>
      <c r="CR100" s="264" t="s">
        <v>733</v>
      </c>
      <c r="CS100" s="265">
        <v>1089300</v>
      </c>
      <c r="CV100" s="43" t="str">
        <f t="shared" si="30"/>
        <v>(NJ) - MONMOUTH COUNTY</v>
      </c>
      <c r="CW100" s="70">
        <f t="shared" si="31"/>
        <v>1089300</v>
      </c>
    </row>
    <row r="101" spans="6:101" ht="15.75" thickBot="1" x14ac:dyDescent="0.3">
      <c r="F101" s="43" t="s">
        <v>816</v>
      </c>
      <c r="G101" s="58">
        <v>681250</v>
      </c>
      <c r="H101" s="58"/>
      <c r="I101" s="43" t="s">
        <v>799</v>
      </c>
      <c r="J101" s="68" t="s">
        <v>668</v>
      </c>
      <c r="K101" s="68" t="str">
        <f t="shared" si="22"/>
        <v>(NJ ) - MIDDLESEX</v>
      </c>
      <c r="L101" s="69">
        <v>735000</v>
      </c>
      <c r="M101" s="68" t="s">
        <v>800</v>
      </c>
      <c r="N101" s="58"/>
      <c r="R101" s="43" t="s">
        <v>793</v>
      </c>
      <c r="S101" s="43" t="s">
        <v>817</v>
      </c>
      <c r="T101" s="68" t="str">
        <f t="shared" si="23"/>
        <v xml:space="preserve">(NY) - QUEENS </v>
      </c>
      <c r="U101" s="70">
        <v>625500</v>
      </c>
      <c r="Y101" s="43" t="s">
        <v>793</v>
      </c>
      <c r="Z101" s="43" t="s">
        <v>801</v>
      </c>
      <c r="AA101" s="68" t="str">
        <f t="shared" si="24"/>
        <v xml:space="preserve">(NY) - KINGS </v>
      </c>
      <c r="AB101" s="59">
        <v>777500</v>
      </c>
      <c r="AF101" s="68" t="s">
        <v>793</v>
      </c>
      <c r="AG101" s="68" t="s">
        <v>805</v>
      </c>
      <c r="AH101" s="68" t="str">
        <f t="shared" si="25"/>
        <v xml:space="preserve">(NY) - NASSAU </v>
      </c>
      <c r="AI101" s="71">
        <v>722500</v>
      </c>
      <c r="AK101" s="72" t="s">
        <v>720</v>
      </c>
      <c r="AL101" s="73" t="s">
        <v>818</v>
      </c>
      <c r="AM101" s="74" t="str">
        <f t="shared" si="26"/>
        <v>(NH) - STRAFFORD</v>
      </c>
      <c r="AN101" s="75">
        <v>511250</v>
      </c>
      <c r="AP101" s="72" t="s">
        <v>658</v>
      </c>
      <c r="AQ101" s="73" t="s">
        <v>758</v>
      </c>
      <c r="AR101" s="74" t="str">
        <f t="shared" si="35"/>
        <v>(MD) - BALTIMORE CITY</v>
      </c>
      <c r="AS101" s="75">
        <v>500000</v>
      </c>
      <c r="AU101" s="35" t="s">
        <v>658</v>
      </c>
      <c r="AV101" s="36" t="s">
        <v>802</v>
      </c>
      <c r="AW101" s="74" t="str">
        <f t="shared" si="32"/>
        <v>(MD) - QUEEN ANNE'S</v>
      </c>
      <c r="AX101" s="76">
        <v>517500</v>
      </c>
      <c r="AZ101" s="37" t="s">
        <v>658</v>
      </c>
      <c r="BA101" s="38" t="s">
        <v>759</v>
      </c>
      <c r="BB101" s="74" t="str">
        <f t="shared" si="33"/>
        <v>(MD) - CALVERT</v>
      </c>
      <c r="BC101" s="76">
        <v>625500</v>
      </c>
      <c r="BE101" s="39" t="s">
        <v>658</v>
      </c>
      <c r="BF101" s="40" t="s">
        <v>702</v>
      </c>
      <c r="BG101" s="41" t="str">
        <f t="shared" si="27"/>
        <v>(MD) - BALTIMORE</v>
      </c>
      <c r="BH101" s="77">
        <v>517500</v>
      </c>
      <c r="BK101" s="37" t="s">
        <v>617</v>
      </c>
      <c r="BL101" s="38" t="s">
        <v>717</v>
      </c>
      <c r="BM101" s="43" t="str">
        <f t="shared" si="34"/>
        <v>(MA) - ESSEX</v>
      </c>
      <c r="BN101" s="76">
        <v>603750</v>
      </c>
      <c r="BQ101" s="38" t="s">
        <v>668</v>
      </c>
      <c r="BR101" s="37" t="s">
        <v>617</v>
      </c>
      <c r="BS101" s="78" t="str">
        <f t="shared" si="28"/>
        <v>(MA) - MIDDLESEX</v>
      </c>
      <c r="BT101" s="79">
        <v>688850</v>
      </c>
      <c r="BW101" s="38" t="s">
        <v>641</v>
      </c>
      <c r="BX101" s="37" t="s">
        <v>617</v>
      </c>
      <c r="BY101" s="78" t="str">
        <f t="shared" si="29"/>
        <v xml:space="preserve">(MA) - NORFOLK </v>
      </c>
      <c r="BZ101" s="80">
        <v>690000</v>
      </c>
      <c r="CC101" s="43" t="s">
        <v>806</v>
      </c>
      <c r="CD101" s="43" t="s">
        <v>803</v>
      </c>
      <c r="CE101" s="37" t="s">
        <v>733</v>
      </c>
      <c r="CF101" s="81" t="str">
        <f t="shared" si="20"/>
        <v>(NJ) - HUNTERDON COUNTY</v>
      </c>
      <c r="CG101" s="59">
        <v>822375</v>
      </c>
      <c r="CH101" s="59"/>
      <c r="CI101" s="263" t="s">
        <v>815</v>
      </c>
      <c r="CJ101" s="264" t="s">
        <v>733</v>
      </c>
      <c r="CK101" s="265">
        <v>970800</v>
      </c>
      <c r="CM101" s="43" t="str">
        <f t="shared" si="37"/>
        <v>(NJ) - MORRIS COUNTY</v>
      </c>
      <c r="CN101" s="269">
        <f t="shared" si="36"/>
        <v>970800</v>
      </c>
      <c r="CO101" s="269"/>
      <c r="CQ101" s="266" t="s">
        <v>819</v>
      </c>
      <c r="CR101" s="267" t="s">
        <v>733</v>
      </c>
      <c r="CS101" s="268">
        <v>1089300</v>
      </c>
      <c r="CV101" s="43" t="str">
        <f t="shared" si="30"/>
        <v>(NJ) - MORRIS COUNTY</v>
      </c>
      <c r="CW101" s="70">
        <f t="shared" si="31"/>
        <v>1089300</v>
      </c>
    </row>
    <row r="102" spans="6:101" ht="15.75" thickBot="1" x14ac:dyDescent="0.3">
      <c r="F102" s="43" t="s">
        <v>820</v>
      </c>
      <c r="G102" s="58">
        <v>681250</v>
      </c>
      <c r="H102" s="58"/>
      <c r="I102" s="43" t="s">
        <v>799</v>
      </c>
      <c r="J102" s="68" t="s">
        <v>757</v>
      </c>
      <c r="K102" s="68" t="str">
        <f t="shared" si="22"/>
        <v xml:space="preserve">(NJ ) - MONMOUTH </v>
      </c>
      <c r="L102" s="69">
        <v>735000</v>
      </c>
      <c r="M102" s="68" t="s">
        <v>800</v>
      </c>
      <c r="N102" s="58"/>
      <c r="R102" s="43" t="s">
        <v>793</v>
      </c>
      <c r="S102" s="43" t="s">
        <v>821</v>
      </c>
      <c r="T102" s="68" t="str">
        <f t="shared" si="23"/>
        <v xml:space="preserve">(NY) - RICHMOND </v>
      </c>
      <c r="U102" s="70">
        <v>625500</v>
      </c>
      <c r="Y102" s="43" t="s">
        <v>793</v>
      </c>
      <c r="Z102" s="43" t="s">
        <v>805</v>
      </c>
      <c r="AA102" s="68" t="str">
        <f t="shared" si="24"/>
        <v xml:space="preserve">(NY) - NASSAU </v>
      </c>
      <c r="AB102" s="59">
        <v>777500</v>
      </c>
      <c r="AF102" s="68" t="s">
        <v>793</v>
      </c>
      <c r="AG102" s="68" t="s">
        <v>808</v>
      </c>
      <c r="AH102" s="68" t="str">
        <f t="shared" si="25"/>
        <v xml:space="preserve">(NY) - NEW YORK </v>
      </c>
      <c r="AI102" s="71">
        <v>722500</v>
      </c>
      <c r="AK102" s="72" t="s">
        <v>733</v>
      </c>
      <c r="AL102" s="73" t="s">
        <v>822</v>
      </c>
      <c r="AM102" s="74" t="str">
        <f t="shared" si="26"/>
        <v>(NJ) - BERGEN</v>
      </c>
      <c r="AN102" s="75">
        <v>978750</v>
      </c>
      <c r="AP102" s="72" t="s">
        <v>658</v>
      </c>
      <c r="AQ102" s="73" t="s">
        <v>759</v>
      </c>
      <c r="AR102" s="74" t="str">
        <f t="shared" si="35"/>
        <v>(MD) - CALVERT</v>
      </c>
      <c r="AS102" s="75">
        <v>692500</v>
      </c>
      <c r="AU102" s="35" t="s">
        <v>658</v>
      </c>
      <c r="AV102" s="36" t="s">
        <v>758</v>
      </c>
      <c r="AW102" s="74" t="str">
        <f t="shared" si="32"/>
        <v>(MD) - BALTIMORE CITY</v>
      </c>
      <c r="AX102" s="76">
        <v>517500</v>
      </c>
      <c r="AZ102" s="37" t="s">
        <v>658</v>
      </c>
      <c r="BA102" s="38" t="s">
        <v>765</v>
      </c>
      <c r="BB102" s="74" t="str">
        <f t="shared" si="33"/>
        <v>(MD) - CARROLL</v>
      </c>
      <c r="BC102" s="76">
        <v>517500</v>
      </c>
      <c r="BE102" s="39" t="s">
        <v>658</v>
      </c>
      <c r="BF102" s="40" t="s">
        <v>759</v>
      </c>
      <c r="BG102" s="41" t="str">
        <f t="shared" si="27"/>
        <v>(MD) - CALVERT</v>
      </c>
      <c r="BH102" s="77">
        <v>636150</v>
      </c>
      <c r="BK102" s="37" t="s">
        <v>617</v>
      </c>
      <c r="BL102" s="38" t="s">
        <v>668</v>
      </c>
      <c r="BM102" s="43" t="str">
        <f t="shared" si="34"/>
        <v>(MA) - MIDDLESEX</v>
      </c>
      <c r="BN102" s="76">
        <v>603750</v>
      </c>
      <c r="BQ102" s="38" t="s">
        <v>728</v>
      </c>
      <c r="BR102" s="37" t="s">
        <v>617</v>
      </c>
      <c r="BS102" s="78" t="str">
        <f t="shared" si="28"/>
        <v>(MA) - NANTUCKET</v>
      </c>
      <c r="BT102" s="79">
        <v>726525</v>
      </c>
      <c r="BW102" s="38" t="s">
        <v>647</v>
      </c>
      <c r="BX102" s="37" t="s">
        <v>617</v>
      </c>
      <c r="BY102" s="78" t="str">
        <f t="shared" si="29"/>
        <v xml:space="preserve">(MA) - PLYMOUTH </v>
      </c>
      <c r="BZ102" s="80">
        <v>690000</v>
      </c>
      <c r="CC102" s="43" t="s">
        <v>806</v>
      </c>
      <c r="CD102" s="43" t="s">
        <v>751</v>
      </c>
      <c r="CE102" s="37" t="s">
        <v>733</v>
      </c>
      <c r="CF102" s="81" t="str">
        <f t="shared" si="20"/>
        <v>(NJ) - MIDDLESEX COUNTY</v>
      </c>
      <c r="CG102" s="59">
        <v>822375</v>
      </c>
      <c r="CH102" s="59"/>
      <c r="CI102" s="266" t="s">
        <v>819</v>
      </c>
      <c r="CJ102" s="267" t="s">
        <v>733</v>
      </c>
      <c r="CK102" s="268">
        <v>970800</v>
      </c>
      <c r="CM102" s="43" t="str">
        <f t="shared" si="37"/>
        <v>(NJ) - OCEAN COUNTY</v>
      </c>
      <c r="CN102" s="269">
        <f t="shared" si="36"/>
        <v>970800</v>
      </c>
      <c r="CO102" s="269"/>
      <c r="CQ102" s="263" t="s">
        <v>823</v>
      </c>
      <c r="CR102" s="264" t="s">
        <v>733</v>
      </c>
      <c r="CS102" s="265">
        <v>1089300</v>
      </c>
      <c r="CV102" s="43" t="str">
        <f t="shared" si="30"/>
        <v>(NJ) - OCEAN COUNTY</v>
      </c>
      <c r="CW102" s="70">
        <f t="shared" si="31"/>
        <v>1089300</v>
      </c>
    </row>
    <row r="103" spans="6:101" ht="15.75" thickBot="1" x14ac:dyDescent="0.3">
      <c r="F103" s="43" t="s">
        <v>824</v>
      </c>
      <c r="G103" s="58">
        <v>681250</v>
      </c>
      <c r="H103" s="58"/>
      <c r="I103" s="43" t="s">
        <v>799</v>
      </c>
      <c r="J103" s="68" t="s">
        <v>764</v>
      </c>
      <c r="K103" s="68" t="str">
        <f t="shared" si="22"/>
        <v xml:space="preserve">(NJ ) - MORRIS </v>
      </c>
      <c r="L103" s="69">
        <v>735000</v>
      </c>
      <c r="M103" s="68" t="s">
        <v>800</v>
      </c>
      <c r="N103" s="58"/>
      <c r="R103" s="43" t="s">
        <v>793</v>
      </c>
      <c r="S103" s="43" t="s">
        <v>825</v>
      </c>
      <c r="T103" s="68" t="str">
        <f t="shared" si="23"/>
        <v xml:space="preserve">(NY) - ROCKLAND </v>
      </c>
      <c r="U103" s="70">
        <v>625500</v>
      </c>
      <c r="Y103" s="43" t="s">
        <v>793</v>
      </c>
      <c r="Z103" s="43" t="s">
        <v>808</v>
      </c>
      <c r="AA103" s="68" t="str">
        <f t="shared" si="24"/>
        <v xml:space="preserve">(NY) - NEW YORK </v>
      </c>
      <c r="AB103" s="59">
        <v>777500</v>
      </c>
      <c r="AF103" s="68" t="s">
        <v>793</v>
      </c>
      <c r="AG103" s="68" t="s">
        <v>813</v>
      </c>
      <c r="AH103" s="68" t="str">
        <f t="shared" si="25"/>
        <v xml:space="preserve">(NY) - PUTNAM </v>
      </c>
      <c r="AI103" s="71">
        <v>722500</v>
      </c>
      <c r="AK103" s="72" t="s">
        <v>733</v>
      </c>
      <c r="AL103" s="73" t="s">
        <v>717</v>
      </c>
      <c r="AM103" s="74" t="str">
        <f t="shared" si="26"/>
        <v>(NJ) - ESSEX</v>
      </c>
      <c r="AN103" s="75">
        <v>978750</v>
      </c>
      <c r="AP103" s="72" t="s">
        <v>658</v>
      </c>
      <c r="AQ103" s="73" t="s">
        <v>765</v>
      </c>
      <c r="AR103" s="74" t="str">
        <f t="shared" si="35"/>
        <v>(MD) - CARROLL</v>
      </c>
      <c r="AS103" s="75">
        <v>500000</v>
      </c>
      <c r="AU103" s="35" t="s">
        <v>809</v>
      </c>
      <c r="AV103" s="36" t="s">
        <v>826</v>
      </c>
      <c r="AW103" s="74" t="str">
        <f t="shared" si="32"/>
        <v>(MP) - NORTHERN ISLAND</v>
      </c>
      <c r="AX103" s="76">
        <v>524400</v>
      </c>
      <c r="AZ103" s="37" t="s">
        <v>658</v>
      </c>
      <c r="BA103" s="38" t="s">
        <v>770</v>
      </c>
      <c r="BB103" s="74" t="str">
        <f t="shared" si="33"/>
        <v>(MD) - CHARLES</v>
      </c>
      <c r="BC103" s="76">
        <v>625500</v>
      </c>
      <c r="BE103" s="39" t="s">
        <v>658</v>
      </c>
      <c r="BF103" s="40" t="s">
        <v>765</v>
      </c>
      <c r="BG103" s="41" t="str">
        <f t="shared" si="27"/>
        <v>(MD) - CARROLL</v>
      </c>
      <c r="BH103" s="77">
        <v>517500</v>
      </c>
      <c r="BK103" s="37" t="s">
        <v>617</v>
      </c>
      <c r="BL103" s="38" t="s">
        <v>728</v>
      </c>
      <c r="BM103" s="43" t="str">
        <f t="shared" si="34"/>
        <v>(MA) - NANTUCKET</v>
      </c>
      <c r="BN103" s="76">
        <v>679650</v>
      </c>
      <c r="BQ103" s="38" t="s">
        <v>735</v>
      </c>
      <c r="BR103" s="37" t="s">
        <v>617</v>
      </c>
      <c r="BS103" s="78" t="str">
        <f t="shared" si="28"/>
        <v>(MA) - NORFOLK</v>
      </c>
      <c r="BT103" s="79">
        <v>688850</v>
      </c>
      <c r="BW103" s="38" t="s">
        <v>654</v>
      </c>
      <c r="BX103" s="37" t="s">
        <v>617</v>
      </c>
      <c r="BY103" s="78" t="str">
        <f t="shared" si="29"/>
        <v xml:space="preserve">(MA) - SUFFOLK </v>
      </c>
      <c r="BZ103" s="80">
        <v>690000</v>
      </c>
      <c r="CC103" s="43" t="s">
        <v>806</v>
      </c>
      <c r="CD103" s="43" t="s">
        <v>811</v>
      </c>
      <c r="CE103" s="37" t="s">
        <v>733</v>
      </c>
      <c r="CF103" s="81" t="str">
        <f t="shared" si="20"/>
        <v>(NJ) - MONMOUTH COUNTY</v>
      </c>
      <c r="CG103" s="59">
        <v>822375</v>
      </c>
      <c r="CH103" s="59"/>
      <c r="CI103" s="263" t="s">
        <v>823</v>
      </c>
      <c r="CJ103" s="264" t="s">
        <v>733</v>
      </c>
      <c r="CK103" s="265">
        <v>970800</v>
      </c>
      <c r="CM103" s="43" t="str">
        <f t="shared" si="37"/>
        <v>(NJ) - PASSAIC COUNTY</v>
      </c>
      <c r="CN103" s="269">
        <f t="shared" si="36"/>
        <v>970800</v>
      </c>
      <c r="CO103" s="269"/>
      <c r="CQ103" s="266" t="s">
        <v>827</v>
      </c>
      <c r="CR103" s="267" t="s">
        <v>733</v>
      </c>
      <c r="CS103" s="268">
        <v>1089300</v>
      </c>
      <c r="CV103" s="43" t="str">
        <f t="shared" si="30"/>
        <v>(NJ) - PASSAIC COUNTY</v>
      </c>
      <c r="CW103" s="70">
        <f t="shared" si="31"/>
        <v>1089300</v>
      </c>
    </row>
    <row r="104" spans="6:101" ht="15.75" thickBot="1" x14ac:dyDescent="0.3">
      <c r="F104" s="43" t="s">
        <v>828</v>
      </c>
      <c r="G104" s="58">
        <v>681250</v>
      </c>
      <c r="H104" s="58"/>
      <c r="I104" s="43" t="s">
        <v>799</v>
      </c>
      <c r="J104" s="68" t="s">
        <v>769</v>
      </c>
      <c r="K104" s="68" t="str">
        <f t="shared" si="22"/>
        <v xml:space="preserve">(NJ ) - OCEAN </v>
      </c>
      <c r="L104" s="69">
        <v>735000</v>
      </c>
      <c r="M104" s="68" t="s">
        <v>800</v>
      </c>
      <c r="N104" s="58"/>
      <c r="R104" s="43" t="s">
        <v>793</v>
      </c>
      <c r="S104" s="43" t="s">
        <v>654</v>
      </c>
      <c r="T104" s="68" t="str">
        <f t="shared" si="23"/>
        <v xml:space="preserve">(NY) - SUFFOLK </v>
      </c>
      <c r="U104" s="70">
        <v>625500</v>
      </c>
      <c r="Y104" s="43" t="s">
        <v>793</v>
      </c>
      <c r="Z104" s="43" t="s">
        <v>813</v>
      </c>
      <c r="AA104" s="68" t="str">
        <f t="shared" si="24"/>
        <v xml:space="preserve">(NY) - PUTNAM </v>
      </c>
      <c r="AB104" s="59">
        <v>777500</v>
      </c>
      <c r="AF104" s="68" t="s">
        <v>793</v>
      </c>
      <c r="AG104" s="68" t="s">
        <v>817</v>
      </c>
      <c r="AH104" s="68" t="str">
        <f t="shared" si="25"/>
        <v xml:space="preserve">(NY) - QUEENS </v>
      </c>
      <c r="AI104" s="71">
        <v>722500</v>
      </c>
      <c r="AK104" s="72" t="s">
        <v>733</v>
      </c>
      <c r="AL104" s="73" t="s">
        <v>829</v>
      </c>
      <c r="AM104" s="74" t="str">
        <f t="shared" si="26"/>
        <v>(NJ) - HUDSON</v>
      </c>
      <c r="AN104" s="75">
        <v>978750</v>
      </c>
      <c r="AP104" s="72" t="s">
        <v>658</v>
      </c>
      <c r="AQ104" s="73" t="s">
        <v>770</v>
      </c>
      <c r="AR104" s="74" t="str">
        <f t="shared" si="35"/>
        <v>(MD) - CHARLES</v>
      </c>
      <c r="AS104" s="75">
        <v>692500</v>
      </c>
      <c r="AU104" s="35" t="s">
        <v>809</v>
      </c>
      <c r="AV104" s="36" t="s">
        <v>830</v>
      </c>
      <c r="AW104" s="74" t="str">
        <f t="shared" si="32"/>
        <v>(MP) - SAIPAN</v>
      </c>
      <c r="AX104" s="76">
        <v>529000</v>
      </c>
      <c r="AZ104" s="37" t="s">
        <v>658</v>
      </c>
      <c r="BA104" s="38" t="s">
        <v>726</v>
      </c>
      <c r="BB104" s="74" t="str">
        <f t="shared" si="33"/>
        <v>(MD) - FREDERICK</v>
      </c>
      <c r="BC104" s="76">
        <v>625500</v>
      </c>
      <c r="BE104" s="39" t="s">
        <v>658</v>
      </c>
      <c r="BF104" s="40" t="s">
        <v>770</v>
      </c>
      <c r="BG104" s="41" t="str">
        <f t="shared" si="27"/>
        <v>(MD) - CHARLES</v>
      </c>
      <c r="BH104" s="77">
        <v>636150</v>
      </c>
      <c r="BK104" s="37" t="s">
        <v>617</v>
      </c>
      <c r="BL104" s="38" t="s">
        <v>735</v>
      </c>
      <c r="BM104" s="43" t="str">
        <f t="shared" si="34"/>
        <v>(MA) - NORFOLK</v>
      </c>
      <c r="BN104" s="76">
        <v>603750</v>
      </c>
      <c r="BQ104" s="38" t="s">
        <v>740</v>
      </c>
      <c r="BR104" s="37" t="s">
        <v>617</v>
      </c>
      <c r="BS104" s="78" t="str">
        <f t="shared" si="28"/>
        <v>(MA) - PLYMOUTH</v>
      </c>
      <c r="BT104" s="79">
        <v>688850</v>
      </c>
      <c r="BW104" s="38" t="s">
        <v>721</v>
      </c>
      <c r="BX104" s="37" t="s">
        <v>720</v>
      </c>
      <c r="BY104" s="78" t="str">
        <f t="shared" si="29"/>
        <v xml:space="preserve">(NH) - ROCKINGHAM </v>
      </c>
      <c r="BZ104" s="80">
        <v>690000</v>
      </c>
      <c r="CC104" s="43" t="s">
        <v>806</v>
      </c>
      <c r="CD104" s="43" t="s">
        <v>815</v>
      </c>
      <c r="CE104" s="37" t="s">
        <v>733</v>
      </c>
      <c r="CF104" s="81" t="str">
        <f t="shared" si="20"/>
        <v>(NJ) - MORRIS COUNTY</v>
      </c>
      <c r="CG104" s="59">
        <v>822375</v>
      </c>
      <c r="CH104" s="59"/>
      <c r="CI104" s="266" t="s">
        <v>827</v>
      </c>
      <c r="CJ104" s="267" t="s">
        <v>733</v>
      </c>
      <c r="CK104" s="268">
        <v>970800</v>
      </c>
      <c r="CM104" s="43" t="str">
        <f t="shared" si="37"/>
        <v>(NJ) - SOMERSET COUNTY</v>
      </c>
      <c r="CN104" s="269">
        <f t="shared" si="36"/>
        <v>970800</v>
      </c>
      <c r="CO104" s="269"/>
      <c r="CQ104" s="263" t="s">
        <v>831</v>
      </c>
      <c r="CR104" s="264" t="s">
        <v>733</v>
      </c>
      <c r="CS104" s="265">
        <v>1089300</v>
      </c>
      <c r="CV104" s="43" t="str">
        <f t="shared" si="30"/>
        <v>(NJ) - SOMERSET COUNTY</v>
      </c>
      <c r="CW104" s="70">
        <f t="shared" si="31"/>
        <v>1089300</v>
      </c>
    </row>
    <row r="105" spans="6:101" ht="15.75" thickBot="1" x14ac:dyDescent="0.3">
      <c r="F105" s="43" t="s">
        <v>832</v>
      </c>
      <c r="G105" s="58">
        <v>681250</v>
      </c>
      <c r="H105" s="58"/>
      <c r="I105" s="43" t="s">
        <v>799</v>
      </c>
      <c r="J105" s="68" t="s">
        <v>776</v>
      </c>
      <c r="K105" s="68" t="str">
        <f t="shared" si="22"/>
        <v xml:space="preserve">(NJ ) - PASSAIC </v>
      </c>
      <c r="L105" s="69">
        <v>735000</v>
      </c>
      <c r="M105" s="68" t="s">
        <v>800</v>
      </c>
      <c r="N105" s="58"/>
      <c r="R105" s="43" t="s">
        <v>793</v>
      </c>
      <c r="S105" s="43" t="s">
        <v>833</v>
      </c>
      <c r="T105" s="68" t="str">
        <f t="shared" si="23"/>
        <v xml:space="preserve">(NY) - WESTCHESTER </v>
      </c>
      <c r="U105" s="70">
        <v>625500</v>
      </c>
      <c r="Y105" s="43" t="s">
        <v>793</v>
      </c>
      <c r="Z105" s="43" t="s">
        <v>817</v>
      </c>
      <c r="AA105" s="68" t="str">
        <f t="shared" si="24"/>
        <v xml:space="preserve">(NY) - QUEENS </v>
      </c>
      <c r="AB105" s="59">
        <v>777500</v>
      </c>
      <c r="AF105" s="68" t="s">
        <v>793</v>
      </c>
      <c r="AG105" s="68" t="s">
        <v>821</v>
      </c>
      <c r="AH105" s="68" t="str">
        <f t="shared" si="25"/>
        <v xml:space="preserve">(NY) - RICHMOND </v>
      </c>
      <c r="AI105" s="71">
        <v>722500</v>
      </c>
      <c r="AK105" s="72" t="s">
        <v>733</v>
      </c>
      <c r="AL105" s="73" t="s">
        <v>834</v>
      </c>
      <c r="AM105" s="74" t="str">
        <f t="shared" si="26"/>
        <v>(NJ) - HUNTERDON</v>
      </c>
      <c r="AN105" s="75">
        <v>978750</v>
      </c>
      <c r="AP105" s="82" t="s">
        <v>658</v>
      </c>
      <c r="AQ105" s="83" t="s">
        <v>726</v>
      </c>
      <c r="AR105" s="74" t="str">
        <f t="shared" si="35"/>
        <v>(MD) - FREDERICK</v>
      </c>
      <c r="AS105" s="84">
        <v>692500</v>
      </c>
      <c r="AU105" s="35" t="s">
        <v>809</v>
      </c>
      <c r="AV105" s="36" t="s">
        <v>835</v>
      </c>
      <c r="AW105" s="74" t="str">
        <f t="shared" si="32"/>
        <v>(MP) - TINIAN</v>
      </c>
      <c r="AX105" s="76">
        <v>532450</v>
      </c>
      <c r="AZ105" s="37" t="s">
        <v>658</v>
      </c>
      <c r="BA105" s="38" t="s">
        <v>781</v>
      </c>
      <c r="BB105" s="74" t="str">
        <f t="shared" si="33"/>
        <v>(MD) - HARFORD</v>
      </c>
      <c r="BC105" s="76">
        <v>517500</v>
      </c>
      <c r="BE105" s="39" t="s">
        <v>658</v>
      </c>
      <c r="BF105" s="40" t="s">
        <v>726</v>
      </c>
      <c r="BG105" s="41" t="str">
        <f t="shared" si="27"/>
        <v>(MD) - FREDERICK</v>
      </c>
      <c r="BH105" s="77">
        <v>636150</v>
      </c>
      <c r="BK105" s="37" t="s">
        <v>617</v>
      </c>
      <c r="BL105" s="38" t="s">
        <v>740</v>
      </c>
      <c r="BM105" s="43" t="str">
        <f t="shared" si="34"/>
        <v>(MA) - PLYMOUTH</v>
      </c>
      <c r="BN105" s="76">
        <v>603750</v>
      </c>
      <c r="BQ105" s="38" t="s">
        <v>745</v>
      </c>
      <c r="BR105" s="37" t="s">
        <v>617</v>
      </c>
      <c r="BS105" s="78" t="str">
        <f t="shared" si="28"/>
        <v>(MA) - SUFFOLK</v>
      </c>
      <c r="BT105" s="79">
        <v>688850</v>
      </c>
      <c r="BW105" s="38" t="s">
        <v>727</v>
      </c>
      <c r="BX105" s="37" t="s">
        <v>720</v>
      </c>
      <c r="BY105" s="78" t="str">
        <f t="shared" si="29"/>
        <v xml:space="preserve">(NH) - STRAFFORD </v>
      </c>
      <c r="BZ105" s="80">
        <v>690000</v>
      </c>
      <c r="CC105" s="43" t="s">
        <v>806</v>
      </c>
      <c r="CD105" s="43" t="s">
        <v>819</v>
      </c>
      <c r="CE105" s="37" t="s">
        <v>733</v>
      </c>
      <c r="CF105" s="81" t="str">
        <f t="shared" si="20"/>
        <v>(NJ) - OCEAN COUNTY</v>
      </c>
      <c r="CG105" s="59">
        <v>822375</v>
      </c>
      <c r="CH105" s="59"/>
      <c r="CI105" s="263" t="s">
        <v>831</v>
      </c>
      <c r="CJ105" s="264" t="s">
        <v>733</v>
      </c>
      <c r="CK105" s="265">
        <v>970800</v>
      </c>
      <c r="CM105" s="43" t="str">
        <f t="shared" si="37"/>
        <v>(NJ) - SUSSEX COUNTY</v>
      </c>
      <c r="CN105" s="269">
        <f t="shared" si="36"/>
        <v>970800</v>
      </c>
      <c r="CO105" s="269"/>
      <c r="CQ105" s="266" t="s">
        <v>836</v>
      </c>
      <c r="CR105" s="267" t="s">
        <v>733</v>
      </c>
      <c r="CS105" s="268">
        <v>1089300</v>
      </c>
      <c r="CV105" s="43" t="str">
        <f t="shared" si="30"/>
        <v>(NJ) - SUSSEX COUNTY</v>
      </c>
      <c r="CW105" s="70">
        <f t="shared" si="31"/>
        <v>1089300</v>
      </c>
    </row>
    <row r="106" spans="6:101" ht="15.75" thickBot="1" x14ac:dyDescent="0.3">
      <c r="F106" s="43" t="s">
        <v>837</v>
      </c>
      <c r="G106" s="58">
        <v>681250</v>
      </c>
      <c r="H106" s="58"/>
      <c r="I106" s="43" t="s">
        <v>799</v>
      </c>
      <c r="J106" s="68" t="s">
        <v>780</v>
      </c>
      <c r="K106" s="68" t="str">
        <f t="shared" si="22"/>
        <v xml:space="preserve">(NJ ) - SOMERSET </v>
      </c>
      <c r="L106" s="69">
        <v>735000</v>
      </c>
      <c r="M106" s="68" t="s">
        <v>800</v>
      </c>
      <c r="N106" s="58"/>
      <c r="R106" s="43" t="s">
        <v>838</v>
      </c>
      <c r="S106" s="43" t="s">
        <v>839</v>
      </c>
      <c r="T106" s="68" t="str">
        <f t="shared" si="23"/>
        <v xml:space="preserve">(PA) - PIKE </v>
      </c>
      <c r="U106" s="70">
        <v>625500</v>
      </c>
      <c r="Y106" s="43" t="s">
        <v>793</v>
      </c>
      <c r="Z106" s="43" t="s">
        <v>821</v>
      </c>
      <c r="AA106" s="68" t="str">
        <f t="shared" si="24"/>
        <v xml:space="preserve">(NY) - RICHMOND </v>
      </c>
      <c r="AB106" s="59">
        <v>777500</v>
      </c>
      <c r="AF106" s="68" t="s">
        <v>793</v>
      </c>
      <c r="AG106" s="68" t="s">
        <v>825</v>
      </c>
      <c r="AH106" s="68" t="str">
        <f t="shared" si="25"/>
        <v xml:space="preserve">(NY) - ROCKLAND </v>
      </c>
      <c r="AI106" s="71">
        <v>722500</v>
      </c>
      <c r="AK106" s="72" t="s">
        <v>733</v>
      </c>
      <c r="AL106" s="73" t="s">
        <v>668</v>
      </c>
      <c r="AM106" s="74" t="str">
        <f t="shared" si="26"/>
        <v>(NJ) - MIDDLESEX</v>
      </c>
      <c r="AN106" s="75">
        <v>978750</v>
      </c>
      <c r="AP106" s="72" t="s">
        <v>658</v>
      </c>
      <c r="AQ106" s="73" t="s">
        <v>781</v>
      </c>
      <c r="AR106" s="74" t="str">
        <f t="shared" si="35"/>
        <v>(MD) - HARFORD</v>
      </c>
      <c r="AS106" s="75">
        <v>500000</v>
      </c>
      <c r="AU106" s="35" t="s">
        <v>617</v>
      </c>
      <c r="AV106" s="36" t="s">
        <v>709</v>
      </c>
      <c r="AW106" s="74" t="str">
        <f t="shared" si="32"/>
        <v>(MA) - BRISTOL</v>
      </c>
      <c r="AX106" s="76">
        <v>426650</v>
      </c>
      <c r="AZ106" s="37" t="s">
        <v>658</v>
      </c>
      <c r="BA106" s="38" t="s">
        <v>786</v>
      </c>
      <c r="BB106" s="74" t="str">
        <f t="shared" si="33"/>
        <v>(MD) - HOWARD</v>
      </c>
      <c r="BC106" s="76">
        <v>517500</v>
      </c>
      <c r="BE106" s="39" t="s">
        <v>658</v>
      </c>
      <c r="BF106" s="40" t="s">
        <v>781</v>
      </c>
      <c r="BG106" s="41" t="str">
        <f t="shared" si="27"/>
        <v>(MD) - HARFORD</v>
      </c>
      <c r="BH106" s="77">
        <v>517500</v>
      </c>
      <c r="BK106" s="37" t="s">
        <v>617</v>
      </c>
      <c r="BL106" s="38" t="s">
        <v>745</v>
      </c>
      <c r="BM106" s="43" t="str">
        <f t="shared" si="34"/>
        <v>(MA) - SUFFOLK</v>
      </c>
      <c r="BN106" s="76">
        <v>603750</v>
      </c>
      <c r="BQ106" s="38" t="s">
        <v>814</v>
      </c>
      <c r="BR106" s="37" t="s">
        <v>720</v>
      </c>
      <c r="BS106" s="78" t="str">
        <f t="shared" si="28"/>
        <v>(NH) - ROCKINGHAM</v>
      </c>
      <c r="BT106" s="79">
        <v>688850</v>
      </c>
      <c r="BW106" s="38" t="s">
        <v>734</v>
      </c>
      <c r="BX106" s="37" t="s">
        <v>733</v>
      </c>
      <c r="BY106" s="78" t="str">
        <f t="shared" si="29"/>
        <v xml:space="preserve">(NJ) - BERGEN </v>
      </c>
      <c r="BZ106" s="80">
        <v>765600</v>
      </c>
      <c r="CC106" s="43" t="s">
        <v>806</v>
      </c>
      <c r="CD106" s="43" t="s">
        <v>823</v>
      </c>
      <c r="CE106" s="37" t="s">
        <v>733</v>
      </c>
      <c r="CF106" s="81" t="str">
        <f t="shared" si="20"/>
        <v>(NJ) - PASSAIC COUNTY</v>
      </c>
      <c r="CG106" s="59">
        <v>822375</v>
      </c>
      <c r="CH106" s="59"/>
      <c r="CI106" s="266" t="s">
        <v>836</v>
      </c>
      <c r="CJ106" s="267" t="s">
        <v>733</v>
      </c>
      <c r="CK106" s="268">
        <v>970800</v>
      </c>
      <c r="CM106" s="43" t="str">
        <f t="shared" si="37"/>
        <v>(NJ) - UNION COUNTY</v>
      </c>
      <c r="CN106" s="269">
        <f t="shared" si="36"/>
        <v>970800</v>
      </c>
      <c r="CO106" s="269"/>
      <c r="CQ106" s="263" t="s">
        <v>840</v>
      </c>
      <c r="CR106" s="264" t="s">
        <v>793</v>
      </c>
      <c r="CS106" s="265">
        <v>1089300</v>
      </c>
      <c r="CV106" s="43" t="str">
        <f t="shared" si="30"/>
        <v>(NJ) - UNION COUNTY</v>
      </c>
      <c r="CW106" s="70">
        <f t="shared" si="31"/>
        <v>1089300</v>
      </c>
    </row>
    <row r="107" spans="6:101" ht="15.75" thickBot="1" x14ac:dyDescent="0.3">
      <c r="F107" s="43" t="s">
        <v>841</v>
      </c>
      <c r="G107" s="58">
        <v>681250</v>
      </c>
      <c r="H107" s="58"/>
      <c r="I107" s="43" t="s">
        <v>799</v>
      </c>
      <c r="J107" s="68" t="s">
        <v>785</v>
      </c>
      <c r="K107" s="68" t="str">
        <f t="shared" si="22"/>
        <v xml:space="preserve">(NJ ) - SUSSEX </v>
      </c>
      <c r="L107" s="69">
        <v>735000</v>
      </c>
      <c r="M107" s="68" t="s">
        <v>800</v>
      </c>
      <c r="N107" s="58"/>
      <c r="R107" s="43" t="s">
        <v>842</v>
      </c>
      <c r="S107" s="43" t="s">
        <v>843</v>
      </c>
      <c r="T107" s="68" t="str">
        <f t="shared" si="23"/>
        <v xml:space="preserve">(UT) - SALT LAKE </v>
      </c>
      <c r="U107" s="70">
        <v>594550</v>
      </c>
      <c r="Y107" s="43" t="s">
        <v>793</v>
      </c>
      <c r="Z107" s="43" t="s">
        <v>825</v>
      </c>
      <c r="AA107" s="68" t="str">
        <f t="shared" si="24"/>
        <v xml:space="preserve">(NY) - ROCKLAND </v>
      </c>
      <c r="AB107" s="59">
        <v>777500</v>
      </c>
      <c r="AF107" s="68" t="s">
        <v>793</v>
      </c>
      <c r="AG107" s="68" t="s">
        <v>654</v>
      </c>
      <c r="AH107" s="68" t="str">
        <f t="shared" si="25"/>
        <v xml:space="preserve">(NY) - SUFFOLK </v>
      </c>
      <c r="AI107" s="71">
        <v>722500</v>
      </c>
      <c r="AK107" s="72" t="s">
        <v>733</v>
      </c>
      <c r="AL107" s="73" t="s">
        <v>844</v>
      </c>
      <c r="AM107" s="74" t="str">
        <f t="shared" si="26"/>
        <v>(NJ) - MONMOUTH</v>
      </c>
      <c r="AN107" s="75">
        <v>978750</v>
      </c>
      <c r="AP107" s="72" t="s">
        <v>658</v>
      </c>
      <c r="AQ107" s="73" t="s">
        <v>786</v>
      </c>
      <c r="AR107" s="74" t="str">
        <f t="shared" si="35"/>
        <v>(MD) - HOWARD</v>
      </c>
      <c r="AS107" s="75">
        <v>500000</v>
      </c>
      <c r="AU107" s="35" t="s">
        <v>617</v>
      </c>
      <c r="AV107" s="36" t="s">
        <v>712</v>
      </c>
      <c r="AW107" s="74" t="str">
        <f t="shared" si="32"/>
        <v>(MA) - DUKES</v>
      </c>
      <c r="AX107" s="76">
        <v>625500</v>
      </c>
      <c r="AZ107" s="37" t="s">
        <v>658</v>
      </c>
      <c r="BA107" s="38" t="s">
        <v>791</v>
      </c>
      <c r="BB107" s="74" t="str">
        <f t="shared" si="33"/>
        <v>(MD) - MONTGOMERY</v>
      </c>
      <c r="BC107" s="76">
        <v>625500</v>
      </c>
      <c r="BE107" s="39" t="s">
        <v>658</v>
      </c>
      <c r="BF107" s="40" t="s">
        <v>786</v>
      </c>
      <c r="BG107" s="41" t="str">
        <f t="shared" si="27"/>
        <v>(MD) - HOWARD</v>
      </c>
      <c r="BH107" s="77">
        <v>517500</v>
      </c>
      <c r="BK107" s="37" t="s">
        <v>720</v>
      </c>
      <c r="BL107" s="38" t="s">
        <v>814</v>
      </c>
      <c r="BM107" s="43" t="str">
        <f t="shared" si="34"/>
        <v>(NH) - ROCKINGHAM</v>
      </c>
      <c r="BN107" s="76">
        <v>603750</v>
      </c>
      <c r="BQ107" s="38" t="s">
        <v>818</v>
      </c>
      <c r="BR107" s="37" t="s">
        <v>720</v>
      </c>
      <c r="BS107" s="78" t="str">
        <f t="shared" si="28"/>
        <v>(NH) - STRAFFORD</v>
      </c>
      <c r="BT107" s="79">
        <v>688850</v>
      </c>
      <c r="BW107" s="38" t="s">
        <v>623</v>
      </c>
      <c r="BX107" s="37" t="s">
        <v>733</v>
      </c>
      <c r="BY107" s="78" t="str">
        <f t="shared" si="29"/>
        <v xml:space="preserve">(NJ) - ESSEX </v>
      </c>
      <c r="BZ107" s="80">
        <v>765600</v>
      </c>
      <c r="CC107" s="43" t="s">
        <v>806</v>
      </c>
      <c r="CD107" s="43" t="s">
        <v>827</v>
      </c>
      <c r="CE107" s="37" t="s">
        <v>733</v>
      </c>
      <c r="CF107" s="81" t="str">
        <f t="shared" si="20"/>
        <v>(NJ) - SOMERSET COUNTY</v>
      </c>
      <c r="CG107" s="59">
        <v>822375</v>
      </c>
      <c r="CH107" s="59"/>
      <c r="CI107" s="263" t="s">
        <v>840</v>
      </c>
      <c r="CJ107" s="264" t="s">
        <v>793</v>
      </c>
      <c r="CK107" s="265">
        <v>970800</v>
      </c>
      <c r="CM107" s="43" t="str">
        <f t="shared" si="37"/>
        <v>(NY) - BRONX COUNTY</v>
      </c>
      <c r="CN107" s="269">
        <f t="shared" si="36"/>
        <v>970800</v>
      </c>
      <c r="CO107" s="269"/>
      <c r="CQ107" s="266" t="s">
        <v>845</v>
      </c>
      <c r="CR107" s="267" t="s">
        <v>793</v>
      </c>
      <c r="CS107" s="268">
        <v>726525</v>
      </c>
      <c r="CV107" s="43" t="str">
        <f t="shared" si="30"/>
        <v>(NY) - BRONX COUNTY</v>
      </c>
      <c r="CW107" s="70">
        <f t="shared" si="31"/>
        <v>1089300</v>
      </c>
    </row>
    <row r="108" spans="6:101" ht="15.75" thickBot="1" x14ac:dyDescent="0.3">
      <c r="F108" s="43" t="s">
        <v>846</v>
      </c>
      <c r="G108" s="58">
        <v>681250</v>
      </c>
      <c r="H108" s="58"/>
      <c r="I108" s="43" t="s">
        <v>799</v>
      </c>
      <c r="J108" s="68" t="s">
        <v>790</v>
      </c>
      <c r="K108" s="68" t="str">
        <f t="shared" si="22"/>
        <v xml:space="preserve">(NJ ) - UNION </v>
      </c>
      <c r="L108" s="69">
        <v>735000</v>
      </c>
      <c r="M108" s="68" t="s">
        <v>800</v>
      </c>
      <c r="N108" s="58"/>
      <c r="R108" s="43" t="s">
        <v>842</v>
      </c>
      <c r="S108" s="43" t="s">
        <v>554</v>
      </c>
      <c r="T108" s="68" t="str">
        <f t="shared" si="23"/>
        <v xml:space="preserve">(UT) - SUMMIT </v>
      </c>
      <c r="U108" s="70">
        <v>594550</v>
      </c>
      <c r="Y108" s="43" t="s">
        <v>793</v>
      </c>
      <c r="Z108" s="43" t="s">
        <v>654</v>
      </c>
      <c r="AA108" s="68" t="str">
        <f t="shared" si="24"/>
        <v xml:space="preserve">(NY) - SUFFOLK </v>
      </c>
      <c r="AB108" s="59">
        <v>777500</v>
      </c>
      <c r="AF108" s="68" t="s">
        <v>793</v>
      </c>
      <c r="AG108" s="68" t="s">
        <v>833</v>
      </c>
      <c r="AH108" s="68" t="str">
        <f t="shared" si="25"/>
        <v xml:space="preserve">(NY) - WESTCHESTER </v>
      </c>
      <c r="AI108" s="71">
        <v>722500</v>
      </c>
      <c r="AK108" s="72" t="s">
        <v>733</v>
      </c>
      <c r="AL108" s="73" t="s">
        <v>847</v>
      </c>
      <c r="AM108" s="74" t="str">
        <f t="shared" si="26"/>
        <v>(NJ) - MORRIS</v>
      </c>
      <c r="AN108" s="75">
        <v>978750</v>
      </c>
      <c r="AP108" s="72" t="s">
        <v>658</v>
      </c>
      <c r="AQ108" s="73" t="s">
        <v>791</v>
      </c>
      <c r="AR108" s="74" t="str">
        <f t="shared" si="35"/>
        <v>(MD) - MONTGOMERY</v>
      </c>
      <c r="AS108" s="75">
        <v>692500</v>
      </c>
      <c r="AU108" s="35" t="s">
        <v>617</v>
      </c>
      <c r="AV108" s="36" t="s">
        <v>717</v>
      </c>
      <c r="AW108" s="74" t="str">
        <f t="shared" si="32"/>
        <v>(MA) - ESSEX</v>
      </c>
      <c r="AX108" s="76">
        <v>517500</v>
      </c>
      <c r="AZ108" s="37" t="s">
        <v>658</v>
      </c>
      <c r="BA108" s="38" t="s">
        <v>795</v>
      </c>
      <c r="BB108" s="74" t="str">
        <f t="shared" si="33"/>
        <v>(MD) - PRINCE GEORGE'S</v>
      </c>
      <c r="BC108" s="76">
        <v>625500</v>
      </c>
      <c r="BE108" s="39" t="s">
        <v>658</v>
      </c>
      <c r="BF108" s="40" t="s">
        <v>791</v>
      </c>
      <c r="BG108" s="41" t="str">
        <f t="shared" si="27"/>
        <v>(MD) - MONTGOMERY</v>
      </c>
      <c r="BH108" s="77">
        <v>636150</v>
      </c>
      <c r="BK108" s="37" t="s">
        <v>720</v>
      </c>
      <c r="BL108" s="38" t="s">
        <v>818</v>
      </c>
      <c r="BM108" s="43" t="str">
        <f t="shared" si="34"/>
        <v>(NH) - STRAFFORD</v>
      </c>
      <c r="BN108" s="76">
        <v>603750</v>
      </c>
      <c r="BQ108" s="38" t="s">
        <v>822</v>
      </c>
      <c r="BR108" s="37" t="s">
        <v>733</v>
      </c>
      <c r="BS108" s="78" t="str">
        <f t="shared" si="28"/>
        <v>(NJ) - BERGEN</v>
      </c>
      <c r="BT108" s="79">
        <v>726525</v>
      </c>
      <c r="BW108" s="38" t="s">
        <v>744</v>
      </c>
      <c r="BX108" s="37" t="s">
        <v>733</v>
      </c>
      <c r="BY108" s="78" t="str">
        <f t="shared" si="29"/>
        <v xml:space="preserve">(NJ) - HUDSON </v>
      </c>
      <c r="BZ108" s="80">
        <v>765600</v>
      </c>
      <c r="CC108" s="43" t="s">
        <v>806</v>
      </c>
      <c r="CD108" s="43" t="s">
        <v>831</v>
      </c>
      <c r="CE108" s="37" t="s">
        <v>733</v>
      </c>
      <c r="CF108" s="81" t="str">
        <f t="shared" si="20"/>
        <v>(NJ) - SUSSEX COUNTY</v>
      </c>
      <c r="CG108" s="59">
        <v>822375</v>
      </c>
      <c r="CH108" s="59"/>
      <c r="CI108" s="266" t="s">
        <v>845</v>
      </c>
      <c r="CJ108" s="267" t="s">
        <v>793</v>
      </c>
      <c r="CK108" s="268">
        <v>726525</v>
      </c>
      <c r="CM108" s="43" t="str">
        <f t="shared" si="37"/>
        <v>(NY) - DUTCHESS COUNTY</v>
      </c>
      <c r="CN108" s="269">
        <f t="shared" si="36"/>
        <v>726525</v>
      </c>
      <c r="CO108" s="269"/>
      <c r="CQ108" s="263" t="s">
        <v>848</v>
      </c>
      <c r="CR108" s="264" t="s">
        <v>793</v>
      </c>
      <c r="CS108" s="265">
        <v>1089300</v>
      </c>
      <c r="CV108" s="43" t="str">
        <f t="shared" si="30"/>
        <v>(NY) - DUTCHESS COUNTY</v>
      </c>
      <c r="CW108" s="70">
        <f t="shared" si="31"/>
        <v>726525</v>
      </c>
    </row>
    <row r="109" spans="6:101" ht="15.75" thickBot="1" x14ac:dyDescent="0.3">
      <c r="F109" s="43" t="s">
        <v>849</v>
      </c>
      <c r="G109" s="58">
        <v>681250</v>
      </c>
      <c r="H109" s="58"/>
      <c r="I109" s="43" t="s">
        <v>850</v>
      </c>
      <c r="J109" s="68" t="s">
        <v>794</v>
      </c>
      <c r="K109" s="68" t="str">
        <f t="shared" si="22"/>
        <v xml:space="preserve">(NY ) - BRONX </v>
      </c>
      <c r="L109" s="69">
        <v>735000</v>
      </c>
      <c r="M109" s="68" t="s">
        <v>585</v>
      </c>
      <c r="N109" s="58"/>
      <c r="R109" s="43" t="s">
        <v>842</v>
      </c>
      <c r="S109" s="43" t="s">
        <v>851</v>
      </c>
      <c r="T109" s="68" t="str">
        <f t="shared" si="23"/>
        <v xml:space="preserve">(UT) - TOOELE </v>
      </c>
      <c r="U109" s="70">
        <v>594550</v>
      </c>
      <c r="Y109" s="43" t="s">
        <v>793</v>
      </c>
      <c r="Z109" s="43" t="s">
        <v>833</v>
      </c>
      <c r="AA109" s="68" t="str">
        <f t="shared" si="24"/>
        <v xml:space="preserve">(NY) - WESTCHESTER </v>
      </c>
      <c r="AB109" s="59">
        <v>777500</v>
      </c>
      <c r="AF109" s="68" t="s">
        <v>838</v>
      </c>
      <c r="AG109" s="68" t="s">
        <v>839</v>
      </c>
      <c r="AH109" s="68" t="str">
        <f t="shared" si="25"/>
        <v xml:space="preserve">(PA) - PIKE </v>
      </c>
      <c r="AI109" s="71">
        <v>722500</v>
      </c>
      <c r="AK109" s="72" t="s">
        <v>733</v>
      </c>
      <c r="AL109" s="73" t="s">
        <v>852</v>
      </c>
      <c r="AM109" s="74" t="str">
        <f t="shared" si="26"/>
        <v>(NJ) - OCEAN</v>
      </c>
      <c r="AN109" s="75">
        <v>978750</v>
      </c>
      <c r="AP109" s="72" t="s">
        <v>658</v>
      </c>
      <c r="AQ109" s="73" t="s">
        <v>795</v>
      </c>
      <c r="AR109" s="74" t="str">
        <f t="shared" si="35"/>
        <v>(MD) - PRINCE GEORGE'S</v>
      </c>
      <c r="AS109" s="75">
        <v>692500</v>
      </c>
      <c r="AU109" s="35" t="s">
        <v>617</v>
      </c>
      <c r="AV109" s="36" t="s">
        <v>668</v>
      </c>
      <c r="AW109" s="74" t="str">
        <f t="shared" si="32"/>
        <v>(MA) - MIDDLESEX</v>
      </c>
      <c r="AX109" s="76">
        <v>517500</v>
      </c>
      <c r="AZ109" s="37" t="s">
        <v>658</v>
      </c>
      <c r="BA109" s="38" t="s">
        <v>802</v>
      </c>
      <c r="BB109" s="74" t="str">
        <f t="shared" si="33"/>
        <v>(MD) - QUEEN ANNE'S</v>
      </c>
      <c r="BC109" s="76">
        <v>517500</v>
      </c>
      <c r="BE109" s="39" t="s">
        <v>658</v>
      </c>
      <c r="BF109" s="40" t="s">
        <v>795</v>
      </c>
      <c r="BG109" s="41" t="str">
        <f t="shared" si="27"/>
        <v>(MD) - PRINCE GEORGE'S</v>
      </c>
      <c r="BH109" s="77">
        <v>636150</v>
      </c>
      <c r="BK109" s="37" t="s">
        <v>733</v>
      </c>
      <c r="BL109" s="38" t="s">
        <v>822</v>
      </c>
      <c r="BM109" s="43" t="str">
        <f t="shared" si="34"/>
        <v>(NJ) - BERGEN</v>
      </c>
      <c r="BN109" s="76">
        <v>679650</v>
      </c>
      <c r="BQ109" s="38" t="s">
        <v>717</v>
      </c>
      <c r="BR109" s="37" t="s">
        <v>733</v>
      </c>
      <c r="BS109" s="78" t="str">
        <f t="shared" si="28"/>
        <v>(NJ) - ESSEX</v>
      </c>
      <c r="BT109" s="79">
        <v>726525</v>
      </c>
      <c r="BW109" s="38" t="s">
        <v>749</v>
      </c>
      <c r="BX109" s="37" t="s">
        <v>733</v>
      </c>
      <c r="BY109" s="78" t="str">
        <f t="shared" si="29"/>
        <v xml:space="preserve">(NJ) - HUNTERDON </v>
      </c>
      <c r="BZ109" s="80">
        <v>765600</v>
      </c>
      <c r="CC109" s="43" t="s">
        <v>806</v>
      </c>
      <c r="CD109" s="43" t="s">
        <v>836</v>
      </c>
      <c r="CE109" s="37" t="s">
        <v>733</v>
      </c>
      <c r="CF109" s="81" t="str">
        <f t="shared" si="20"/>
        <v>(NJ) - UNION COUNTY</v>
      </c>
      <c r="CG109" s="59">
        <v>822375</v>
      </c>
      <c r="CH109" s="59"/>
      <c r="CI109" s="263" t="s">
        <v>848</v>
      </c>
      <c r="CJ109" s="264" t="s">
        <v>793</v>
      </c>
      <c r="CK109" s="265">
        <v>970800</v>
      </c>
      <c r="CM109" s="43" t="str">
        <f t="shared" si="37"/>
        <v>(NY) - KINGS COUNTY</v>
      </c>
      <c r="CN109" s="269">
        <f t="shared" si="36"/>
        <v>970800</v>
      </c>
      <c r="CO109" s="269"/>
      <c r="CQ109" s="266" t="s">
        <v>853</v>
      </c>
      <c r="CR109" s="267" t="s">
        <v>793</v>
      </c>
      <c r="CS109" s="268">
        <v>1089300</v>
      </c>
      <c r="CV109" s="43" t="str">
        <f t="shared" si="30"/>
        <v>(NY) - KINGS COUNTY</v>
      </c>
      <c r="CW109" s="70">
        <f t="shared" si="31"/>
        <v>1089300</v>
      </c>
    </row>
    <row r="110" spans="6:101" ht="15.75" thickBot="1" x14ac:dyDescent="0.3">
      <c r="F110" s="43" t="s">
        <v>854</v>
      </c>
      <c r="G110" s="58">
        <v>681250</v>
      </c>
      <c r="H110" s="58"/>
      <c r="I110" s="43" t="s">
        <v>850</v>
      </c>
      <c r="J110" s="68" t="s">
        <v>801</v>
      </c>
      <c r="K110" s="68" t="str">
        <f t="shared" si="22"/>
        <v xml:space="preserve">(NY ) - KINGS </v>
      </c>
      <c r="L110" s="69">
        <v>735000</v>
      </c>
      <c r="M110" s="68" t="s">
        <v>585</v>
      </c>
      <c r="N110" s="58"/>
      <c r="R110" s="43" t="s">
        <v>855</v>
      </c>
      <c r="S110" s="43" t="s">
        <v>856</v>
      </c>
      <c r="T110" s="68" t="str">
        <f t="shared" si="23"/>
        <v xml:space="preserve">(VA) - ALEXANDRIA </v>
      </c>
      <c r="U110" s="70">
        <v>625500</v>
      </c>
      <c r="Y110" s="43" t="s">
        <v>838</v>
      </c>
      <c r="Z110" s="43" t="s">
        <v>839</v>
      </c>
      <c r="AA110" s="68" t="str">
        <f t="shared" si="24"/>
        <v xml:space="preserve">(PA) - PIKE </v>
      </c>
      <c r="AB110" s="59">
        <v>777500</v>
      </c>
      <c r="AF110" s="68" t="s">
        <v>842</v>
      </c>
      <c r="AG110" s="68" t="s">
        <v>843</v>
      </c>
      <c r="AH110" s="68" t="str">
        <f t="shared" si="25"/>
        <v xml:space="preserve">(UT) - SALT LAKE </v>
      </c>
      <c r="AI110" s="71">
        <v>650000</v>
      </c>
      <c r="AK110" s="72" t="s">
        <v>733</v>
      </c>
      <c r="AL110" s="73" t="s">
        <v>857</v>
      </c>
      <c r="AM110" s="74" t="str">
        <f t="shared" si="26"/>
        <v>(NJ) - PASSAIC</v>
      </c>
      <c r="AN110" s="75">
        <v>978750</v>
      </c>
      <c r="AP110" s="72" t="s">
        <v>658</v>
      </c>
      <c r="AQ110" s="73" t="s">
        <v>802</v>
      </c>
      <c r="AR110" s="74" t="str">
        <f t="shared" si="35"/>
        <v>(MD) - QUEEN ANNE'S</v>
      </c>
      <c r="AS110" s="75">
        <v>500000</v>
      </c>
      <c r="AU110" s="35" t="s">
        <v>617</v>
      </c>
      <c r="AV110" s="36" t="s">
        <v>728</v>
      </c>
      <c r="AW110" s="74" t="str">
        <f t="shared" si="32"/>
        <v>(MA) - NANTUCKET</v>
      </c>
      <c r="AX110" s="76">
        <v>625500</v>
      </c>
      <c r="AZ110" s="37" t="s">
        <v>658</v>
      </c>
      <c r="BA110" s="38" t="s">
        <v>758</v>
      </c>
      <c r="BB110" s="74" t="str">
        <f t="shared" si="33"/>
        <v>(MD) - BALTIMORE CITY</v>
      </c>
      <c r="BC110" s="76">
        <v>517500</v>
      </c>
      <c r="BE110" s="39" t="s">
        <v>658</v>
      </c>
      <c r="BF110" s="40" t="s">
        <v>802</v>
      </c>
      <c r="BG110" s="41" t="str">
        <f t="shared" si="27"/>
        <v>(MD) - QUEEN ANNE'S</v>
      </c>
      <c r="BH110" s="77">
        <v>517500</v>
      </c>
      <c r="BK110" s="37" t="s">
        <v>733</v>
      </c>
      <c r="BL110" s="38" t="s">
        <v>717</v>
      </c>
      <c r="BM110" s="43" t="str">
        <f t="shared" si="34"/>
        <v>(NJ) - ESSEX</v>
      </c>
      <c r="BN110" s="76">
        <v>679650</v>
      </c>
      <c r="BQ110" s="38" t="s">
        <v>829</v>
      </c>
      <c r="BR110" s="37" t="s">
        <v>733</v>
      </c>
      <c r="BS110" s="78" t="str">
        <f t="shared" si="28"/>
        <v>(NJ) - HUDSON</v>
      </c>
      <c r="BT110" s="79">
        <v>726525</v>
      </c>
      <c r="BW110" s="38" t="s">
        <v>629</v>
      </c>
      <c r="BX110" s="37" t="s">
        <v>733</v>
      </c>
      <c r="BY110" s="78" t="str">
        <f t="shared" si="29"/>
        <v xml:space="preserve">(NJ) - MIDDLESEX </v>
      </c>
      <c r="BZ110" s="80">
        <v>765600</v>
      </c>
      <c r="CC110" s="43" t="s">
        <v>858</v>
      </c>
      <c r="CD110" s="43" t="s">
        <v>840</v>
      </c>
      <c r="CE110" s="37" t="s">
        <v>793</v>
      </c>
      <c r="CF110" s="81" t="str">
        <f t="shared" si="20"/>
        <v>(NY) - BRONX COUNTY</v>
      </c>
      <c r="CG110" s="59">
        <v>822375</v>
      </c>
      <c r="CH110" s="59"/>
      <c r="CI110" s="266" t="s">
        <v>853</v>
      </c>
      <c r="CJ110" s="267" t="s">
        <v>793</v>
      </c>
      <c r="CK110" s="268">
        <v>970800</v>
      </c>
      <c r="CM110" s="43" t="str">
        <f t="shared" si="37"/>
        <v>(NY) - NASSAU COUNTY</v>
      </c>
      <c r="CN110" s="269">
        <f t="shared" si="36"/>
        <v>970800</v>
      </c>
      <c r="CO110" s="269"/>
      <c r="CQ110" s="263" t="s">
        <v>859</v>
      </c>
      <c r="CR110" s="264" t="s">
        <v>793</v>
      </c>
      <c r="CS110" s="265">
        <v>1089300</v>
      </c>
      <c r="CV110" s="43" t="str">
        <f t="shared" si="30"/>
        <v>(NY) - NASSAU COUNTY</v>
      </c>
      <c r="CW110" s="70">
        <f t="shared" si="31"/>
        <v>1089300</v>
      </c>
    </row>
    <row r="111" spans="6:101" ht="15.75" customHeight="1" thickBot="1" x14ac:dyDescent="0.3">
      <c r="F111" s="43" t="s">
        <v>860</v>
      </c>
      <c r="G111" s="58">
        <v>681250</v>
      </c>
      <c r="H111" s="58"/>
      <c r="I111" s="43" t="s">
        <v>850</v>
      </c>
      <c r="J111" s="68" t="s">
        <v>805</v>
      </c>
      <c r="K111" s="68" t="str">
        <f t="shared" si="22"/>
        <v xml:space="preserve">(NY ) - NASSAU </v>
      </c>
      <c r="L111" s="69">
        <v>735000</v>
      </c>
      <c r="M111" s="68" t="s">
        <v>585</v>
      </c>
      <c r="N111" s="58"/>
      <c r="R111" s="43" t="s">
        <v>855</v>
      </c>
      <c r="S111" s="43" t="s">
        <v>861</v>
      </c>
      <c r="T111" s="68" t="str">
        <f t="shared" si="23"/>
        <v xml:space="preserve">(VA) - ARLINGTON </v>
      </c>
      <c r="U111" s="70">
        <v>625500</v>
      </c>
      <c r="Y111" s="43" t="s">
        <v>862</v>
      </c>
      <c r="Z111" s="43" t="s">
        <v>635</v>
      </c>
      <c r="AA111" s="68" t="str">
        <f t="shared" si="24"/>
        <v xml:space="preserve">(RI) - BRISTOL </v>
      </c>
      <c r="AB111" s="59">
        <v>418750</v>
      </c>
      <c r="AF111" s="68" t="s">
        <v>842</v>
      </c>
      <c r="AG111" s="68" t="s">
        <v>554</v>
      </c>
      <c r="AH111" s="68" t="str">
        <f t="shared" si="25"/>
        <v xml:space="preserve">(UT) - SUMMIT </v>
      </c>
      <c r="AI111" s="71">
        <v>650000</v>
      </c>
      <c r="AK111" s="72" t="s">
        <v>733</v>
      </c>
      <c r="AL111" s="73" t="s">
        <v>863</v>
      </c>
      <c r="AM111" s="74" t="str">
        <f t="shared" si="26"/>
        <v>(NJ) - SOMERSET</v>
      </c>
      <c r="AN111" s="75">
        <v>978750</v>
      </c>
      <c r="AP111" s="72" t="s">
        <v>809</v>
      </c>
      <c r="AQ111" s="73" t="s">
        <v>864</v>
      </c>
      <c r="AR111" s="74" t="str">
        <f t="shared" si="35"/>
        <v>(MP) - ANA ISLANDSNORTHERN ISLAND</v>
      </c>
      <c r="AS111" s="75">
        <v>524400</v>
      </c>
      <c r="AU111" s="35" t="s">
        <v>617</v>
      </c>
      <c r="AV111" s="36" t="s">
        <v>735</v>
      </c>
      <c r="AW111" s="74" t="str">
        <f t="shared" si="32"/>
        <v>(MA) - NORFOLK</v>
      </c>
      <c r="AX111" s="76">
        <v>517500</v>
      </c>
      <c r="AZ111" s="37" t="s">
        <v>809</v>
      </c>
      <c r="BA111" s="38" t="s">
        <v>826</v>
      </c>
      <c r="BB111" s="74" t="str">
        <f t="shared" si="33"/>
        <v>(MP) - NORTHERN ISLAND</v>
      </c>
      <c r="BC111" s="76">
        <v>524400</v>
      </c>
      <c r="BE111" s="39" t="s">
        <v>658</v>
      </c>
      <c r="BF111" s="40" t="s">
        <v>758</v>
      </c>
      <c r="BG111" s="41" t="str">
        <f t="shared" si="27"/>
        <v>(MD) - BALTIMORE CITY</v>
      </c>
      <c r="BH111" s="77">
        <v>517500</v>
      </c>
      <c r="BK111" s="37" t="s">
        <v>733</v>
      </c>
      <c r="BL111" s="38" t="s">
        <v>829</v>
      </c>
      <c r="BM111" s="43" t="str">
        <f t="shared" si="34"/>
        <v>(NJ) - HUDSON</v>
      </c>
      <c r="BN111" s="76">
        <v>679650</v>
      </c>
      <c r="BQ111" s="38" t="s">
        <v>834</v>
      </c>
      <c r="BR111" s="37" t="s">
        <v>733</v>
      </c>
      <c r="BS111" s="78" t="str">
        <f t="shared" si="28"/>
        <v>(NJ) - HUNTERDON</v>
      </c>
      <c r="BT111" s="79">
        <v>726525</v>
      </c>
      <c r="BW111" s="38" t="s">
        <v>757</v>
      </c>
      <c r="BX111" s="37" t="s">
        <v>733</v>
      </c>
      <c r="BY111" s="78" t="str">
        <f t="shared" si="29"/>
        <v xml:space="preserve">(NJ) - MONMOUTH </v>
      </c>
      <c r="BZ111" s="80">
        <v>765600</v>
      </c>
      <c r="CC111" s="43" t="s">
        <v>858</v>
      </c>
      <c r="CD111" s="43" t="s">
        <v>845</v>
      </c>
      <c r="CE111" s="37" t="s">
        <v>793</v>
      </c>
      <c r="CF111" s="81" t="str">
        <f t="shared" si="20"/>
        <v>(NY) - DUTCHESS COUNTY</v>
      </c>
      <c r="CG111" s="59">
        <v>726525</v>
      </c>
      <c r="CH111" s="59"/>
      <c r="CI111" s="263" t="s">
        <v>859</v>
      </c>
      <c r="CJ111" s="264" t="s">
        <v>793</v>
      </c>
      <c r="CK111" s="265">
        <v>970800</v>
      </c>
      <c r="CM111" s="43" t="str">
        <f t="shared" si="37"/>
        <v>(NY) - NEW YORK COUNTY</v>
      </c>
      <c r="CN111" s="269">
        <f t="shared" si="36"/>
        <v>970800</v>
      </c>
      <c r="CO111" s="269"/>
      <c r="CQ111" s="266" t="s">
        <v>492</v>
      </c>
      <c r="CR111" s="267" t="s">
        <v>793</v>
      </c>
      <c r="CS111" s="268">
        <v>726525</v>
      </c>
      <c r="CV111" s="43" t="str">
        <f t="shared" si="30"/>
        <v>(NY) - NEW YORK COUNTY</v>
      </c>
      <c r="CW111" s="70">
        <f t="shared" si="31"/>
        <v>1089300</v>
      </c>
    </row>
    <row r="112" spans="6:101" ht="15.75" thickBot="1" x14ac:dyDescent="0.3">
      <c r="F112" s="43" t="s">
        <v>865</v>
      </c>
      <c r="G112" s="58">
        <v>681250</v>
      </c>
      <c r="H112" s="58"/>
      <c r="I112" s="43" t="s">
        <v>850</v>
      </c>
      <c r="J112" s="68" t="s">
        <v>808</v>
      </c>
      <c r="K112" s="68" t="str">
        <f t="shared" si="22"/>
        <v xml:space="preserve">(NY ) - NEW YORK </v>
      </c>
      <c r="L112" s="69">
        <v>735000</v>
      </c>
      <c r="M112" s="68" t="s">
        <v>585</v>
      </c>
      <c r="N112" s="58"/>
      <c r="R112" s="43" t="s">
        <v>855</v>
      </c>
      <c r="S112" s="43" t="s">
        <v>866</v>
      </c>
      <c r="T112" s="68" t="str">
        <f t="shared" si="23"/>
        <v xml:space="preserve">(VA) - CLARKE </v>
      </c>
      <c r="U112" s="70">
        <v>625500</v>
      </c>
      <c r="Y112" s="43" t="s">
        <v>862</v>
      </c>
      <c r="Z112" s="43" t="s">
        <v>867</v>
      </c>
      <c r="AA112" s="68" t="str">
        <f t="shared" si="24"/>
        <v xml:space="preserve">(RI) - KENT </v>
      </c>
      <c r="AB112" s="59">
        <v>418750</v>
      </c>
      <c r="AF112" s="68" t="s">
        <v>842</v>
      </c>
      <c r="AG112" s="68" t="s">
        <v>851</v>
      </c>
      <c r="AH112" s="68" t="str">
        <f t="shared" si="25"/>
        <v xml:space="preserve">(UT) - TOOELE </v>
      </c>
      <c r="AI112" s="71">
        <v>650000</v>
      </c>
      <c r="AK112" s="72" t="s">
        <v>733</v>
      </c>
      <c r="AL112" s="73" t="s">
        <v>868</v>
      </c>
      <c r="AM112" s="74" t="str">
        <f t="shared" si="26"/>
        <v>(NJ) - SUSSEX</v>
      </c>
      <c r="AN112" s="75">
        <v>978750</v>
      </c>
      <c r="AP112" s="72" t="s">
        <v>809</v>
      </c>
      <c r="AQ112" s="73" t="s">
        <v>810</v>
      </c>
      <c r="AR112" s="74" t="str">
        <f t="shared" si="35"/>
        <v>(MP) - ANA ISLANDSTINIAN MUNICIPA</v>
      </c>
      <c r="AS112" s="75">
        <v>532450</v>
      </c>
      <c r="AU112" s="35" t="s">
        <v>617</v>
      </c>
      <c r="AV112" s="36" t="s">
        <v>740</v>
      </c>
      <c r="AW112" s="74" t="str">
        <f t="shared" si="32"/>
        <v>(MA) - PLYMOUTH</v>
      </c>
      <c r="AX112" s="76">
        <v>517500</v>
      </c>
      <c r="AZ112" s="37" t="s">
        <v>809</v>
      </c>
      <c r="BA112" s="38" t="s">
        <v>830</v>
      </c>
      <c r="BB112" s="74" t="str">
        <f t="shared" si="33"/>
        <v>(MP) - SAIPAN</v>
      </c>
      <c r="BC112" s="76">
        <v>529000</v>
      </c>
      <c r="BE112" s="39" t="s">
        <v>809</v>
      </c>
      <c r="BF112" s="40" t="s">
        <v>826</v>
      </c>
      <c r="BG112" s="41" t="str">
        <f t="shared" si="27"/>
        <v>(MP) - NORTHERN ISLAND</v>
      </c>
      <c r="BH112" s="77">
        <v>524400</v>
      </c>
      <c r="BK112" s="37" t="s">
        <v>733</v>
      </c>
      <c r="BL112" s="38" t="s">
        <v>834</v>
      </c>
      <c r="BM112" s="43" t="str">
        <f t="shared" si="34"/>
        <v>(NJ) - HUNTERDON</v>
      </c>
      <c r="BN112" s="76">
        <v>679650</v>
      </c>
      <c r="BQ112" s="38" t="s">
        <v>668</v>
      </c>
      <c r="BR112" s="37" t="s">
        <v>733</v>
      </c>
      <c r="BS112" s="78" t="str">
        <f t="shared" si="28"/>
        <v>(NJ) - MIDDLESEX</v>
      </c>
      <c r="BT112" s="79">
        <v>726525</v>
      </c>
      <c r="BW112" s="38" t="s">
        <v>764</v>
      </c>
      <c r="BX112" s="37" t="s">
        <v>733</v>
      </c>
      <c r="BY112" s="78" t="str">
        <f t="shared" si="29"/>
        <v xml:space="preserve">(NJ) - MORRIS </v>
      </c>
      <c r="BZ112" s="80">
        <v>765600</v>
      </c>
      <c r="CC112" s="43" t="s">
        <v>858</v>
      </c>
      <c r="CD112" s="43" t="s">
        <v>848</v>
      </c>
      <c r="CE112" s="37" t="s">
        <v>793</v>
      </c>
      <c r="CF112" s="81" t="str">
        <f t="shared" si="20"/>
        <v>(NY) - KINGS COUNTY</v>
      </c>
      <c r="CG112" s="59">
        <v>822375</v>
      </c>
      <c r="CH112" s="59"/>
      <c r="CI112" s="266" t="s">
        <v>492</v>
      </c>
      <c r="CJ112" s="267" t="s">
        <v>793</v>
      </c>
      <c r="CK112" s="268">
        <v>726525</v>
      </c>
      <c r="CM112" s="43" t="str">
        <f t="shared" si="37"/>
        <v>(NY) - ORANGE COUNTY</v>
      </c>
      <c r="CN112" s="269">
        <f t="shared" si="36"/>
        <v>726525</v>
      </c>
      <c r="CO112" s="269"/>
      <c r="CQ112" s="263" t="s">
        <v>869</v>
      </c>
      <c r="CR112" s="264" t="s">
        <v>793</v>
      </c>
      <c r="CS112" s="265">
        <v>1089300</v>
      </c>
      <c r="CV112" s="43" t="str">
        <f t="shared" si="30"/>
        <v>(NY) - ORANGE COUNTY</v>
      </c>
      <c r="CW112" s="70">
        <f t="shared" si="31"/>
        <v>726525</v>
      </c>
    </row>
    <row r="113" spans="6:101" ht="15.75" thickBot="1" x14ac:dyDescent="0.3">
      <c r="F113" s="43" t="s">
        <v>870</v>
      </c>
      <c r="G113" s="58">
        <v>681250</v>
      </c>
      <c r="H113" s="58"/>
      <c r="I113" s="43" t="s">
        <v>850</v>
      </c>
      <c r="J113" s="68" t="s">
        <v>813</v>
      </c>
      <c r="K113" s="68" t="str">
        <f t="shared" si="22"/>
        <v xml:space="preserve">(NY ) - PUTNAM </v>
      </c>
      <c r="L113" s="69">
        <v>735000</v>
      </c>
      <c r="M113" s="68" t="s">
        <v>585</v>
      </c>
      <c r="N113" s="58"/>
      <c r="R113" s="43" t="s">
        <v>855</v>
      </c>
      <c r="S113" s="43" t="s">
        <v>871</v>
      </c>
      <c r="T113" s="68" t="str">
        <f t="shared" si="23"/>
        <v xml:space="preserve">(VA) - FAIRFAX </v>
      </c>
      <c r="U113" s="70">
        <v>625500</v>
      </c>
      <c r="Y113" s="43" t="s">
        <v>862</v>
      </c>
      <c r="Z113" s="43" t="s">
        <v>872</v>
      </c>
      <c r="AA113" s="68" t="str">
        <f t="shared" si="24"/>
        <v xml:space="preserve">(RI) - NEWPORT </v>
      </c>
      <c r="AB113" s="59">
        <v>418750</v>
      </c>
      <c r="AF113" s="68" t="s">
        <v>855</v>
      </c>
      <c r="AG113" s="68" t="s">
        <v>856</v>
      </c>
      <c r="AH113" s="68" t="str">
        <f t="shared" si="25"/>
        <v xml:space="preserve">(VA) - ALEXANDRIA </v>
      </c>
      <c r="AI113" s="71">
        <v>843750</v>
      </c>
      <c r="AK113" s="72" t="s">
        <v>733</v>
      </c>
      <c r="AL113" s="73" t="s">
        <v>873</v>
      </c>
      <c r="AM113" s="74" t="str">
        <f t="shared" si="26"/>
        <v>(NJ) - UNION</v>
      </c>
      <c r="AN113" s="75">
        <v>978750</v>
      </c>
      <c r="AP113" s="72" t="s">
        <v>809</v>
      </c>
      <c r="AQ113" s="73" t="s">
        <v>874</v>
      </c>
      <c r="AR113" s="74" t="str">
        <f t="shared" si="35"/>
        <v>(MP) - ANA ISLANDSSAIPAN MUNICIPA</v>
      </c>
      <c r="AS113" s="75">
        <v>529000</v>
      </c>
      <c r="AU113" s="35" t="s">
        <v>617</v>
      </c>
      <c r="AV113" s="36" t="s">
        <v>745</v>
      </c>
      <c r="AW113" s="74" t="str">
        <f t="shared" si="32"/>
        <v>(MA) - SUFFOLK</v>
      </c>
      <c r="AX113" s="76">
        <v>517500</v>
      </c>
      <c r="AZ113" s="37" t="s">
        <v>809</v>
      </c>
      <c r="BA113" s="38" t="s">
        <v>835</v>
      </c>
      <c r="BB113" s="74" t="str">
        <f t="shared" si="33"/>
        <v>(MP) - TINIAN</v>
      </c>
      <c r="BC113" s="76">
        <v>532450</v>
      </c>
      <c r="BE113" s="39" t="s">
        <v>809</v>
      </c>
      <c r="BF113" s="40" t="s">
        <v>830</v>
      </c>
      <c r="BG113" s="41" t="str">
        <f t="shared" si="27"/>
        <v>(MP) - SAIPAN</v>
      </c>
      <c r="BH113" s="77">
        <v>529000</v>
      </c>
      <c r="BK113" s="37" t="s">
        <v>733</v>
      </c>
      <c r="BL113" s="38" t="s">
        <v>668</v>
      </c>
      <c r="BM113" s="43" t="str">
        <f t="shared" si="34"/>
        <v>(NJ) - MIDDLESEX</v>
      </c>
      <c r="BN113" s="76">
        <v>679650</v>
      </c>
      <c r="BQ113" s="38" t="s">
        <v>844</v>
      </c>
      <c r="BR113" s="37" t="s">
        <v>733</v>
      </c>
      <c r="BS113" s="78" t="str">
        <f t="shared" si="28"/>
        <v>(NJ) - MONMOUTH</v>
      </c>
      <c r="BT113" s="79">
        <v>726525</v>
      </c>
      <c r="BW113" s="38" t="s">
        <v>769</v>
      </c>
      <c r="BX113" s="37" t="s">
        <v>733</v>
      </c>
      <c r="BY113" s="78" t="str">
        <f t="shared" si="29"/>
        <v xml:space="preserve">(NJ) - OCEAN </v>
      </c>
      <c r="BZ113" s="80">
        <v>765600</v>
      </c>
      <c r="CC113" s="43" t="s">
        <v>858</v>
      </c>
      <c r="CD113" s="43" t="s">
        <v>853</v>
      </c>
      <c r="CE113" s="37" t="s">
        <v>793</v>
      </c>
      <c r="CF113" s="81" t="str">
        <f t="shared" si="20"/>
        <v>(NY) - NASSAU COUNTY</v>
      </c>
      <c r="CG113" s="59">
        <v>822375</v>
      </c>
      <c r="CH113" s="59"/>
      <c r="CI113" s="263" t="s">
        <v>869</v>
      </c>
      <c r="CJ113" s="264" t="s">
        <v>793</v>
      </c>
      <c r="CK113" s="265">
        <v>970800</v>
      </c>
      <c r="CM113" s="43" t="str">
        <f t="shared" si="37"/>
        <v>(NY) - PUTNAM COUNTY</v>
      </c>
      <c r="CN113" s="269">
        <f t="shared" si="36"/>
        <v>970800</v>
      </c>
      <c r="CO113" s="269"/>
      <c r="CQ113" s="266" t="s">
        <v>875</v>
      </c>
      <c r="CR113" s="267" t="s">
        <v>793</v>
      </c>
      <c r="CS113" s="268">
        <v>1089300</v>
      </c>
      <c r="CV113" s="43" t="str">
        <f t="shared" si="30"/>
        <v>(NY) - PUTNAM COUNTY</v>
      </c>
      <c r="CW113" s="70">
        <f t="shared" si="31"/>
        <v>1089300</v>
      </c>
    </row>
    <row r="114" spans="6:101" ht="15.75" thickBot="1" x14ac:dyDescent="0.3">
      <c r="F114" s="43" t="s">
        <v>876</v>
      </c>
      <c r="G114" s="58">
        <v>681250</v>
      </c>
      <c r="H114" s="58"/>
      <c r="I114" s="43" t="s">
        <v>850</v>
      </c>
      <c r="J114" s="68" t="s">
        <v>817</v>
      </c>
      <c r="K114" s="68" t="str">
        <f t="shared" si="22"/>
        <v xml:space="preserve">(NY ) - QUEENS </v>
      </c>
      <c r="L114" s="69">
        <v>735000</v>
      </c>
      <c r="M114" s="68" t="s">
        <v>585</v>
      </c>
      <c r="N114" s="58"/>
      <c r="R114" s="43" t="s">
        <v>855</v>
      </c>
      <c r="S114" s="43" t="s">
        <v>877</v>
      </c>
      <c r="T114" s="68" t="str">
        <f t="shared" si="23"/>
        <v xml:space="preserve">(VA) - FAIRFAX IND </v>
      </c>
      <c r="U114" s="70">
        <v>625500</v>
      </c>
      <c r="Y114" s="43" t="s">
        <v>862</v>
      </c>
      <c r="Z114" s="43" t="s">
        <v>878</v>
      </c>
      <c r="AA114" s="68" t="str">
        <f t="shared" si="24"/>
        <v xml:space="preserve">(RI) - PROVIDENCE </v>
      </c>
      <c r="AB114" s="59">
        <v>418750</v>
      </c>
      <c r="AF114" s="68" t="s">
        <v>855</v>
      </c>
      <c r="AG114" s="68" t="s">
        <v>861</v>
      </c>
      <c r="AH114" s="68" t="str">
        <f t="shared" si="25"/>
        <v xml:space="preserve">(VA) - ARLINGTON </v>
      </c>
      <c r="AI114" s="71">
        <v>843750</v>
      </c>
      <c r="AK114" s="72" t="s">
        <v>793</v>
      </c>
      <c r="AL114" s="73" t="s">
        <v>879</v>
      </c>
      <c r="AM114" s="74" t="str">
        <f t="shared" si="26"/>
        <v>(NY) - BRONX</v>
      </c>
      <c r="AN114" s="75">
        <v>978750</v>
      </c>
      <c r="AP114" s="72" t="s">
        <v>880</v>
      </c>
      <c r="AQ114" s="73" t="s">
        <v>881</v>
      </c>
      <c r="AR114" s="74" t="str">
        <f t="shared" si="35"/>
        <v>(NC) - CAMDEN</v>
      </c>
      <c r="AS114" s="75">
        <v>625500</v>
      </c>
      <c r="AU114" s="35" t="s">
        <v>720</v>
      </c>
      <c r="AV114" s="36" t="s">
        <v>814</v>
      </c>
      <c r="AW114" s="74" t="str">
        <f t="shared" si="32"/>
        <v>(NH) - ROCKINGHAM</v>
      </c>
      <c r="AX114" s="76">
        <v>517500</v>
      </c>
      <c r="AZ114" s="37" t="s">
        <v>880</v>
      </c>
      <c r="BA114" s="38" t="s">
        <v>881</v>
      </c>
      <c r="BB114" s="74" t="str">
        <f t="shared" si="33"/>
        <v>(NC) - CAMDEN</v>
      </c>
      <c r="BC114" s="76">
        <v>625500</v>
      </c>
      <c r="BE114" s="39" t="s">
        <v>809</v>
      </c>
      <c r="BF114" s="40" t="s">
        <v>835</v>
      </c>
      <c r="BG114" s="41" t="str">
        <f t="shared" si="27"/>
        <v>(MP) - TINIAN</v>
      </c>
      <c r="BH114" s="77">
        <v>532450</v>
      </c>
      <c r="BK114" s="37" t="s">
        <v>733</v>
      </c>
      <c r="BL114" s="38" t="s">
        <v>844</v>
      </c>
      <c r="BM114" s="43" t="str">
        <f t="shared" si="34"/>
        <v>(NJ) - MONMOUTH</v>
      </c>
      <c r="BN114" s="76">
        <v>679650</v>
      </c>
      <c r="BQ114" s="38" t="s">
        <v>847</v>
      </c>
      <c r="BR114" s="37" t="s">
        <v>733</v>
      </c>
      <c r="BS114" s="78" t="str">
        <f t="shared" si="28"/>
        <v>(NJ) - MORRIS</v>
      </c>
      <c r="BT114" s="79">
        <v>726525</v>
      </c>
      <c r="BW114" s="38" t="s">
        <v>776</v>
      </c>
      <c r="BX114" s="37" t="s">
        <v>733</v>
      </c>
      <c r="BY114" s="78" t="str">
        <f t="shared" si="29"/>
        <v xml:space="preserve">(NJ) - PASSAIC </v>
      </c>
      <c r="BZ114" s="80">
        <v>765600</v>
      </c>
      <c r="CC114" s="43" t="s">
        <v>858</v>
      </c>
      <c r="CD114" s="43" t="s">
        <v>859</v>
      </c>
      <c r="CE114" s="37" t="s">
        <v>793</v>
      </c>
      <c r="CF114" s="81" t="str">
        <f t="shared" si="20"/>
        <v>(NY) - NEW YORK COUNTY</v>
      </c>
      <c r="CG114" s="59">
        <v>822375</v>
      </c>
      <c r="CH114" s="59"/>
      <c r="CI114" s="266" t="s">
        <v>875</v>
      </c>
      <c r="CJ114" s="267" t="s">
        <v>793</v>
      </c>
      <c r="CK114" s="268">
        <v>970800</v>
      </c>
      <c r="CM114" s="43" t="str">
        <f t="shared" si="37"/>
        <v>(NY) - QUEENS COUNTY</v>
      </c>
      <c r="CN114" s="269">
        <f t="shared" si="36"/>
        <v>970800</v>
      </c>
      <c r="CO114" s="269"/>
      <c r="CQ114" s="263" t="s">
        <v>882</v>
      </c>
      <c r="CR114" s="264" t="s">
        <v>793</v>
      </c>
      <c r="CS114" s="265">
        <v>1089300</v>
      </c>
      <c r="CV114" s="43" t="str">
        <f t="shared" si="30"/>
        <v>(NY) - QUEENS COUNTY</v>
      </c>
      <c r="CW114" s="70">
        <f t="shared" si="31"/>
        <v>1089300</v>
      </c>
    </row>
    <row r="115" spans="6:101" ht="15.75" thickBot="1" x14ac:dyDescent="0.3">
      <c r="F115" s="43" t="s">
        <v>883</v>
      </c>
      <c r="G115" s="58">
        <v>681250</v>
      </c>
      <c r="H115" s="58"/>
      <c r="I115" s="43" t="s">
        <v>850</v>
      </c>
      <c r="J115" s="68" t="s">
        <v>821</v>
      </c>
      <c r="K115" s="68" t="str">
        <f t="shared" si="22"/>
        <v xml:space="preserve">(NY ) - RICHMOND </v>
      </c>
      <c r="L115" s="69">
        <v>735000</v>
      </c>
      <c r="M115" s="68" t="s">
        <v>585</v>
      </c>
      <c r="N115" s="58"/>
      <c r="R115" s="43" t="s">
        <v>855</v>
      </c>
      <c r="S115" s="43" t="s">
        <v>884</v>
      </c>
      <c r="T115" s="68" t="str">
        <f t="shared" si="23"/>
        <v xml:space="preserve">(VA) - FALLS CHURCH </v>
      </c>
      <c r="U115" s="70">
        <v>625500</v>
      </c>
      <c r="Y115" s="43" t="s">
        <v>862</v>
      </c>
      <c r="Z115" s="43" t="s">
        <v>885</v>
      </c>
      <c r="AA115" s="68" t="str">
        <f t="shared" si="24"/>
        <v xml:space="preserve">(RI) - WASHINGTON </v>
      </c>
      <c r="AB115" s="59">
        <v>418750</v>
      </c>
      <c r="AF115" s="68" t="s">
        <v>855</v>
      </c>
      <c r="AG115" s="68" t="s">
        <v>866</v>
      </c>
      <c r="AH115" s="68" t="str">
        <f t="shared" si="25"/>
        <v xml:space="preserve">(VA) - CLARKE </v>
      </c>
      <c r="AI115" s="71">
        <v>843750</v>
      </c>
      <c r="AK115" s="85" t="s">
        <v>793</v>
      </c>
      <c r="AL115" s="86" t="s">
        <v>886</v>
      </c>
      <c r="AM115" s="74" t="str">
        <f t="shared" si="26"/>
        <v>(NY) - DUTCHESS</v>
      </c>
      <c r="AN115" s="87">
        <v>978750</v>
      </c>
      <c r="AP115" s="72" t="s">
        <v>880</v>
      </c>
      <c r="AQ115" s="73" t="s">
        <v>887</v>
      </c>
      <c r="AR115" s="74" t="str">
        <f t="shared" si="35"/>
        <v>(NC) - CURRITUCK</v>
      </c>
      <c r="AS115" s="75">
        <v>458850</v>
      </c>
      <c r="AU115" s="35" t="s">
        <v>720</v>
      </c>
      <c r="AV115" s="36" t="s">
        <v>818</v>
      </c>
      <c r="AW115" s="74" t="str">
        <f t="shared" si="32"/>
        <v>(NH) - STRAFFORD</v>
      </c>
      <c r="AX115" s="76">
        <v>517500</v>
      </c>
      <c r="AZ115" s="37" t="s">
        <v>880</v>
      </c>
      <c r="BA115" s="38" t="s">
        <v>887</v>
      </c>
      <c r="BB115" s="74" t="str">
        <f t="shared" si="33"/>
        <v>(NC) - CURRITUCK</v>
      </c>
      <c r="BC115" s="76">
        <v>458850</v>
      </c>
      <c r="BE115" s="39" t="s">
        <v>880</v>
      </c>
      <c r="BF115" s="40" t="s">
        <v>881</v>
      </c>
      <c r="BG115" s="41" t="str">
        <f t="shared" si="27"/>
        <v>(NC) - CAMDEN</v>
      </c>
      <c r="BH115" s="77">
        <v>625500</v>
      </c>
      <c r="BK115" s="37" t="s">
        <v>733</v>
      </c>
      <c r="BL115" s="38" t="s">
        <v>847</v>
      </c>
      <c r="BM115" s="43" t="str">
        <f t="shared" si="34"/>
        <v>(NJ) - MORRIS</v>
      </c>
      <c r="BN115" s="76">
        <v>679650</v>
      </c>
      <c r="BQ115" s="38" t="s">
        <v>852</v>
      </c>
      <c r="BR115" s="37" t="s">
        <v>733</v>
      </c>
      <c r="BS115" s="78" t="str">
        <f t="shared" si="28"/>
        <v>(NJ) - OCEAN</v>
      </c>
      <c r="BT115" s="79">
        <v>726525</v>
      </c>
      <c r="BW115" s="38" t="s">
        <v>780</v>
      </c>
      <c r="BX115" s="37" t="s">
        <v>733</v>
      </c>
      <c r="BY115" s="78" t="str">
        <f t="shared" si="29"/>
        <v xml:space="preserve">(NJ) - SOMERSET </v>
      </c>
      <c r="BZ115" s="80">
        <v>765600</v>
      </c>
      <c r="CC115" s="43" t="s">
        <v>858</v>
      </c>
      <c r="CD115" s="43" t="s">
        <v>492</v>
      </c>
      <c r="CE115" s="37" t="s">
        <v>793</v>
      </c>
      <c r="CF115" s="81" t="str">
        <f t="shared" si="20"/>
        <v>(NY) - ORANGE COUNTY</v>
      </c>
      <c r="CG115" s="59">
        <v>726525</v>
      </c>
      <c r="CH115" s="59"/>
      <c r="CI115" s="263" t="s">
        <v>882</v>
      </c>
      <c r="CJ115" s="264" t="s">
        <v>793</v>
      </c>
      <c r="CK115" s="265">
        <v>970800</v>
      </c>
      <c r="CM115" s="43" t="str">
        <f t="shared" si="37"/>
        <v>(NY) - RICHMOND COUNTY</v>
      </c>
      <c r="CN115" s="269">
        <f t="shared" si="36"/>
        <v>970800</v>
      </c>
      <c r="CO115" s="269"/>
      <c r="CQ115" s="266" t="s">
        <v>888</v>
      </c>
      <c r="CR115" s="267" t="s">
        <v>793</v>
      </c>
      <c r="CS115" s="268">
        <v>1089300</v>
      </c>
      <c r="CV115" s="43" t="str">
        <f t="shared" si="30"/>
        <v>(NY) - RICHMOND COUNTY</v>
      </c>
      <c r="CW115" s="70">
        <f t="shared" si="31"/>
        <v>1089300</v>
      </c>
    </row>
    <row r="116" spans="6:101" ht="15.75" thickBot="1" x14ac:dyDescent="0.3">
      <c r="F116" s="43" t="s">
        <v>889</v>
      </c>
      <c r="G116" s="58">
        <v>681250</v>
      </c>
      <c r="H116" s="58"/>
      <c r="I116" s="43" t="s">
        <v>850</v>
      </c>
      <c r="J116" s="68" t="s">
        <v>825</v>
      </c>
      <c r="K116" s="68" t="str">
        <f t="shared" si="22"/>
        <v xml:space="preserve">(NY ) - ROCKLAND </v>
      </c>
      <c r="L116" s="69">
        <v>735000</v>
      </c>
      <c r="M116" s="68" t="s">
        <v>585</v>
      </c>
      <c r="N116" s="58"/>
      <c r="R116" s="43" t="s">
        <v>855</v>
      </c>
      <c r="S116" s="43" t="s">
        <v>890</v>
      </c>
      <c r="T116" s="68" t="str">
        <f t="shared" si="23"/>
        <v xml:space="preserve">(VA) - FAUQUIER </v>
      </c>
      <c r="U116" s="70">
        <v>625500</v>
      </c>
      <c r="Y116" s="43" t="s">
        <v>842</v>
      </c>
      <c r="Z116" s="43" t="s">
        <v>843</v>
      </c>
      <c r="AA116" s="68" t="str">
        <f t="shared" si="24"/>
        <v xml:space="preserve">(UT) - SALT LAKE </v>
      </c>
      <c r="AB116" s="59">
        <v>646250</v>
      </c>
      <c r="AF116" s="68" t="s">
        <v>855</v>
      </c>
      <c r="AG116" s="68" t="s">
        <v>871</v>
      </c>
      <c r="AH116" s="68" t="str">
        <f t="shared" si="25"/>
        <v xml:space="preserve">(VA) - FAIRFAX </v>
      </c>
      <c r="AI116" s="71">
        <v>843750</v>
      </c>
      <c r="AK116" s="72" t="s">
        <v>793</v>
      </c>
      <c r="AL116" s="73" t="s">
        <v>891</v>
      </c>
      <c r="AM116" s="74" t="str">
        <f t="shared" si="26"/>
        <v>(NY) - KINGS</v>
      </c>
      <c r="AN116" s="75">
        <v>978750</v>
      </c>
      <c r="AP116" s="72" t="s">
        <v>880</v>
      </c>
      <c r="AQ116" s="73" t="s">
        <v>892</v>
      </c>
      <c r="AR116" s="74" t="str">
        <f t="shared" si="35"/>
        <v>(NC) - GATES</v>
      </c>
      <c r="AS116" s="75">
        <v>458850</v>
      </c>
      <c r="AU116" s="35" t="s">
        <v>733</v>
      </c>
      <c r="AV116" s="36" t="s">
        <v>822</v>
      </c>
      <c r="AW116" s="74" t="str">
        <f t="shared" si="32"/>
        <v>(NJ) - BERGEN</v>
      </c>
      <c r="AX116" s="76">
        <v>625500</v>
      </c>
      <c r="AZ116" s="37" t="s">
        <v>880</v>
      </c>
      <c r="BA116" s="38" t="s">
        <v>892</v>
      </c>
      <c r="BB116" s="74" t="str">
        <f t="shared" si="33"/>
        <v>(NC) - GATES</v>
      </c>
      <c r="BC116" s="76">
        <v>458850</v>
      </c>
      <c r="BE116" s="39" t="s">
        <v>880</v>
      </c>
      <c r="BF116" s="40" t="s">
        <v>887</v>
      </c>
      <c r="BG116" s="41" t="str">
        <f t="shared" si="27"/>
        <v>(NC) - CURRITUCK</v>
      </c>
      <c r="BH116" s="77">
        <v>458850</v>
      </c>
      <c r="BK116" s="37" t="s">
        <v>733</v>
      </c>
      <c r="BL116" s="38" t="s">
        <v>852</v>
      </c>
      <c r="BM116" s="43" t="str">
        <f t="shared" si="34"/>
        <v>(NJ) - OCEAN</v>
      </c>
      <c r="BN116" s="76">
        <v>679650</v>
      </c>
      <c r="BQ116" s="38" t="s">
        <v>857</v>
      </c>
      <c r="BR116" s="37" t="s">
        <v>733</v>
      </c>
      <c r="BS116" s="78" t="str">
        <f t="shared" si="28"/>
        <v>(NJ) - PASSAIC</v>
      </c>
      <c r="BT116" s="79">
        <v>726525</v>
      </c>
      <c r="BW116" s="38" t="s">
        <v>785</v>
      </c>
      <c r="BX116" s="37" t="s">
        <v>733</v>
      </c>
      <c r="BY116" s="78" t="str">
        <f t="shared" si="29"/>
        <v xml:space="preserve">(NJ) - SUSSEX </v>
      </c>
      <c r="BZ116" s="80">
        <v>765600</v>
      </c>
      <c r="CC116" s="43" t="s">
        <v>858</v>
      </c>
      <c r="CD116" s="43" t="s">
        <v>869</v>
      </c>
      <c r="CE116" s="37" t="s">
        <v>793</v>
      </c>
      <c r="CF116" s="81" t="str">
        <f t="shared" si="20"/>
        <v>(NY) - PUTNAM COUNTY</v>
      </c>
      <c r="CG116" s="59">
        <v>822375</v>
      </c>
      <c r="CH116" s="59"/>
      <c r="CI116" s="266" t="s">
        <v>888</v>
      </c>
      <c r="CJ116" s="267" t="s">
        <v>793</v>
      </c>
      <c r="CK116" s="268">
        <v>970800</v>
      </c>
      <c r="CM116" s="43" t="str">
        <f t="shared" si="37"/>
        <v>(NY) - ROCKLAND COUNTY</v>
      </c>
      <c r="CN116" s="269">
        <f t="shared" si="36"/>
        <v>970800</v>
      </c>
      <c r="CO116" s="269"/>
      <c r="CQ116" s="263" t="s">
        <v>771</v>
      </c>
      <c r="CR116" s="264" t="s">
        <v>793</v>
      </c>
      <c r="CS116" s="265">
        <v>1089300</v>
      </c>
      <c r="CV116" s="43" t="str">
        <f t="shared" si="30"/>
        <v>(NY) - ROCKLAND COUNTY</v>
      </c>
      <c r="CW116" s="70">
        <f t="shared" si="31"/>
        <v>1089300</v>
      </c>
    </row>
    <row r="117" spans="6:101" ht="15.75" thickBot="1" x14ac:dyDescent="0.3">
      <c r="F117" s="43" t="s">
        <v>893</v>
      </c>
      <c r="G117" s="58">
        <v>681250</v>
      </c>
      <c r="H117" s="58"/>
      <c r="I117" s="43" t="s">
        <v>850</v>
      </c>
      <c r="J117" s="68" t="s">
        <v>654</v>
      </c>
      <c r="K117" s="68" t="str">
        <f t="shared" si="22"/>
        <v xml:space="preserve">(NY ) - SUFFOLK </v>
      </c>
      <c r="L117" s="69">
        <v>735000</v>
      </c>
      <c r="M117" s="68" t="s">
        <v>585</v>
      </c>
      <c r="N117" s="58"/>
      <c r="R117" s="43" t="s">
        <v>855</v>
      </c>
      <c r="S117" s="43" t="s">
        <v>894</v>
      </c>
      <c r="T117" s="68" t="str">
        <f t="shared" si="23"/>
        <v xml:space="preserve">(VA) - FREDERICKSBURG </v>
      </c>
      <c r="U117" s="70">
        <v>625500</v>
      </c>
      <c r="Y117" s="43" t="s">
        <v>842</v>
      </c>
      <c r="Z117" s="43" t="s">
        <v>554</v>
      </c>
      <c r="AA117" s="68" t="str">
        <f t="shared" si="24"/>
        <v xml:space="preserve">(UT) - SUMMIT </v>
      </c>
      <c r="AB117" s="59">
        <v>646250</v>
      </c>
      <c r="AF117" s="68" t="s">
        <v>855</v>
      </c>
      <c r="AG117" s="68" t="s">
        <v>877</v>
      </c>
      <c r="AH117" s="68" t="str">
        <f t="shared" si="25"/>
        <v xml:space="preserve">(VA) - FAIRFAX IND </v>
      </c>
      <c r="AI117" s="71">
        <v>843750</v>
      </c>
      <c r="AK117" s="72" t="s">
        <v>793</v>
      </c>
      <c r="AL117" s="73" t="s">
        <v>895</v>
      </c>
      <c r="AM117" s="74" t="str">
        <f t="shared" si="26"/>
        <v>(NY) - NASSAU</v>
      </c>
      <c r="AN117" s="75">
        <v>978750</v>
      </c>
      <c r="AP117" s="72" t="s">
        <v>880</v>
      </c>
      <c r="AQ117" s="73" t="s">
        <v>896</v>
      </c>
      <c r="AR117" s="74" t="str">
        <f t="shared" si="35"/>
        <v>(NC) - HYDE</v>
      </c>
      <c r="AS117" s="75">
        <v>483000</v>
      </c>
      <c r="AU117" s="35" t="s">
        <v>733</v>
      </c>
      <c r="AV117" s="36" t="s">
        <v>717</v>
      </c>
      <c r="AW117" s="74" t="str">
        <f t="shared" si="32"/>
        <v>(NJ) - ESSEX</v>
      </c>
      <c r="AX117" s="76">
        <v>625500</v>
      </c>
      <c r="AZ117" s="37" t="s">
        <v>880</v>
      </c>
      <c r="BA117" s="38" t="s">
        <v>896</v>
      </c>
      <c r="BB117" s="74" t="str">
        <f t="shared" si="33"/>
        <v>(NC) - HYDE</v>
      </c>
      <c r="BC117" s="76">
        <v>483000</v>
      </c>
      <c r="BE117" s="39" t="s">
        <v>880</v>
      </c>
      <c r="BF117" s="40" t="s">
        <v>892</v>
      </c>
      <c r="BG117" s="41" t="str">
        <f t="shared" si="27"/>
        <v>(NC) - GATES</v>
      </c>
      <c r="BH117" s="77">
        <v>458850</v>
      </c>
      <c r="BK117" s="37" t="s">
        <v>733</v>
      </c>
      <c r="BL117" s="38" t="s">
        <v>857</v>
      </c>
      <c r="BM117" s="43" t="str">
        <f t="shared" si="34"/>
        <v>(NJ) - PASSAIC</v>
      </c>
      <c r="BN117" s="76">
        <v>679650</v>
      </c>
      <c r="BQ117" s="38" t="s">
        <v>863</v>
      </c>
      <c r="BR117" s="37" t="s">
        <v>733</v>
      </c>
      <c r="BS117" s="78" t="str">
        <f t="shared" si="28"/>
        <v>(NJ) - SOMERSET</v>
      </c>
      <c r="BT117" s="79">
        <v>726525</v>
      </c>
      <c r="BW117" s="38" t="s">
        <v>790</v>
      </c>
      <c r="BX117" s="37" t="s">
        <v>733</v>
      </c>
      <c r="BY117" s="78" t="str">
        <f t="shared" si="29"/>
        <v xml:space="preserve">(NJ) - UNION </v>
      </c>
      <c r="BZ117" s="80">
        <v>765600</v>
      </c>
      <c r="CC117" s="43" t="s">
        <v>858</v>
      </c>
      <c r="CD117" s="43" t="s">
        <v>875</v>
      </c>
      <c r="CE117" s="37" t="s">
        <v>793</v>
      </c>
      <c r="CF117" s="81" t="str">
        <f t="shared" si="20"/>
        <v>(NY) - QUEENS COUNTY</v>
      </c>
      <c r="CG117" s="59">
        <v>822375</v>
      </c>
      <c r="CH117" s="59"/>
      <c r="CI117" s="263" t="s">
        <v>771</v>
      </c>
      <c r="CJ117" s="264" t="s">
        <v>793</v>
      </c>
      <c r="CK117" s="265">
        <v>970800</v>
      </c>
      <c r="CM117" s="43" t="str">
        <f t="shared" si="37"/>
        <v>(NY) - SUFFOLK COUNTY</v>
      </c>
      <c r="CN117" s="269">
        <f t="shared" si="36"/>
        <v>970800</v>
      </c>
      <c r="CO117" s="269"/>
      <c r="CQ117" s="266" t="s">
        <v>897</v>
      </c>
      <c r="CR117" s="267" t="s">
        <v>793</v>
      </c>
      <c r="CS117" s="268">
        <v>1089300</v>
      </c>
      <c r="CV117" s="43" t="str">
        <f t="shared" si="30"/>
        <v>(NY) - SUFFOLK COUNTY</v>
      </c>
      <c r="CW117" s="70">
        <f t="shared" si="31"/>
        <v>1089300</v>
      </c>
    </row>
    <row r="118" spans="6:101" ht="15.75" thickBot="1" x14ac:dyDescent="0.3">
      <c r="F118" s="43" t="s">
        <v>898</v>
      </c>
      <c r="G118" s="58">
        <v>681250</v>
      </c>
      <c r="H118" s="58"/>
      <c r="I118" s="43" t="s">
        <v>850</v>
      </c>
      <c r="J118" s="68" t="s">
        <v>833</v>
      </c>
      <c r="K118" s="68" t="str">
        <f t="shared" si="22"/>
        <v xml:space="preserve">(NY ) - WESTCHESTER </v>
      </c>
      <c r="L118" s="69">
        <v>735000</v>
      </c>
      <c r="M118" s="68" t="s">
        <v>585</v>
      </c>
      <c r="N118" s="58"/>
      <c r="R118" s="43" t="s">
        <v>855</v>
      </c>
      <c r="S118" s="43" t="s">
        <v>899</v>
      </c>
      <c r="T118" s="68" t="str">
        <f t="shared" si="23"/>
        <v xml:space="preserve">(VA) - LOUDOUN </v>
      </c>
      <c r="U118" s="70">
        <v>625500</v>
      </c>
      <c r="Y118" s="43" t="s">
        <v>842</v>
      </c>
      <c r="Z118" s="43" t="s">
        <v>851</v>
      </c>
      <c r="AA118" s="68" t="str">
        <f t="shared" si="24"/>
        <v xml:space="preserve">(UT) - TOOELE </v>
      </c>
      <c r="AB118" s="59">
        <v>646250</v>
      </c>
      <c r="AF118" s="68" t="s">
        <v>855</v>
      </c>
      <c r="AG118" s="68" t="s">
        <v>884</v>
      </c>
      <c r="AH118" s="68" t="str">
        <f t="shared" si="25"/>
        <v xml:space="preserve">(VA) - FALLS CHURCH </v>
      </c>
      <c r="AI118" s="71">
        <v>843750</v>
      </c>
      <c r="AK118" s="72" t="s">
        <v>793</v>
      </c>
      <c r="AL118" s="73" t="s">
        <v>858</v>
      </c>
      <c r="AM118" s="74" t="str">
        <f t="shared" si="26"/>
        <v>(NY) - NEW YORK</v>
      </c>
      <c r="AN118" s="75">
        <v>978750</v>
      </c>
      <c r="AP118" s="72" t="s">
        <v>880</v>
      </c>
      <c r="AQ118" s="73" t="s">
        <v>900</v>
      </c>
      <c r="AR118" s="74" t="str">
        <f t="shared" si="35"/>
        <v>(NC) - PASQUOTANK</v>
      </c>
      <c r="AS118" s="75">
        <v>625500</v>
      </c>
      <c r="AU118" s="35" t="s">
        <v>733</v>
      </c>
      <c r="AV118" s="36" t="s">
        <v>829</v>
      </c>
      <c r="AW118" s="74" t="str">
        <f t="shared" si="32"/>
        <v>(NJ) - HUDSON</v>
      </c>
      <c r="AX118" s="76">
        <v>625500</v>
      </c>
      <c r="AZ118" s="37" t="s">
        <v>880</v>
      </c>
      <c r="BA118" s="38" t="s">
        <v>900</v>
      </c>
      <c r="BB118" s="74" t="str">
        <f t="shared" si="33"/>
        <v>(NC) - PASQUOTANK</v>
      </c>
      <c r="BC118" s="76">
        <v>625500</v>
      </c>
      <c r="BE118" s="39" t="s">
        <v>880</v>
      </c>
      <c r="BF118" s="40" t="s">
        <v>896</v>
      </c>
      <c r="BG118" s="41" t="str">
        <f t="shared" si="27"/>
        <v>(NC) - HYDE</v>
      </c>
      <c r="BH118" s="77">
        <v>483000</v>
      </c>
      <c r="BK118" s="37" t="s">
        <v>733</v>
      </c>
      <c r="BL118" s="38" t="s">
        <v>863</v>
      </c>
      <c r="BM118" s="43" t="str">
        <f t="shared" si="34"/>
        <v>(NJ) - SOMERSET</v>
      </c>
      <c r="BN118" s="76">
        <v>679650</v>
      </c>
      <c r="BQ118" s="38" t="s">
        <v>868</v>
      </c>
      <c r="BR118" s="37" t="s">
        <v>733</v>
      </c>
      <c r="BS118" s="78" t="str">
        <f t="shared" si="28"/>
        <v>(NJ) - SUSSEX</v>
      </c>
      <c r="BT118" s="79">
        <v>726525</v>
      </c>
      <c r="BW118" s="38" t="s">
        <v>794</v>
      </c>
      <c r="BX118" s="37" t="s">
        <v>793</v>
      </c>
      <c r="BY118" s="78" t="str">
        <f t="shared" si="29"/>
        <v xml:space="preserve">(NY) - BRONX </v>
      </c>
      <c r="BZ118" s="80">
        <v>765600</v>
      </c>
      <c r="CC118" s="43" t="s">
        <v>858</v>
      </c>
      <c r="CD118" s="43" t="s">
        <v>882</v>
      </c>
      <c r="CE118" s="37" t="s">
        <v>793</v>
      </c>
      <c r="CF118" s="81" t="str">
        <f t="shared" si="20"/>
        <v>(NY) - RICHMOND COUNTY</v>
      </c>
      <c r="CG118" s="59">
        <v>822375</v>
      </c>
      <c r="CH118" s="59"/>
      <c r="CI118" s="266" t="s">
        <v>897</v>
      </c>
      <c r="CJ118" s="267" t="s">
        <v>793</v>
      </c>
      <c r="CK118" s="268">
        <v>970800</v>
      </c>
      <c r="CM118" s="43" t="str">
        <f t="shared" si="37"/>
        <v>(NY) - WESTCHESTER COUNTY</v>
      </c>
      <c r="CN118" s="269">
        <f t="shared" si="36"/>
        <v>970800</v>
      </c>
      <c r="CO118" s="269"/>
      <c r="CQ118" s="263" t="s">
        <v>901</v>
      </c>
      <c r="CR118" s="264" t="s">
        <v>838</v>
      </c>
      <c r="CS118" s="265">
        <v>1089300</v>
      </c>
      <c r="CV118" s="43" t="str">
        <f t="shared" si="30"/>
        <v>(NY) - WESTCHESTER COUNTY</v>
      </c>
      <c r="CW118" s="70">
        <f t="shared" si="31"/>
        <v>1089300</v>
      </c>
    </row>
    <row r="119" spans="6:101" ht="15.75" thickBot="1" x14ac:dyDescent="0.3">
      <c r="F119" s="43" t="s">
        <v>902</v>
      </c>
      <c r="G119" s="58">
        <v>681250</v>
      </c>
      <c r="H119" s="58"/>
      <c r="I119" s="43" t="s">
        <v>903</v>
      </c>
      <c r="J119" s="68" t="s">
        <v>839</v>
      </c>
      <c r="K119" s="68" t="str">
        <f t="shared" si="22"/>
        <v xml:space="preserve">(PA ) - PIKE </v>
      </c>
      <c r="L119" s="69">
        <v>735000</v>
      </c>
      <c r="M119" s="68" t="s">
        <v>800</v>
      </c>
      <c r="N119" s="58"/>
      <c r="R119" s="43" t="s">
        <v>855</v>
      </c>
      <c r="S119" s="43" t="s">
        <v>904</v>
      </c>
      <c r="T119" s="68" t="str">
        <f t="shared" si="23"/>
        <v xml:space="preserve">(VA) - MANASSAS </v>
      </c>
      <c r="U119" s="70">
        <v>625500</v>
      </c>
      <c r="Y119" s="43" t="s">
        <v>855</v>
      </c>
      <c r="Z119" s="43" t="s">
        <v>856</v>
      </c>
      <c r="AA119" s="68" t="str">
        <f t="shared" si="24"/>
        <v xml:space="preserve">(VA) - ALEXANDRIA </v>
      </c>
      <c r="AB119" s="59">
        <v>838750</v>
      </c>
      <c r="AF119" s="68" t="s">
        <v>855</v>
      </c>
      <c r="AG119" s="68" t="s">
        <v>890</v>
      </c>
      <c r="AH119" s="68" t="str">
        <f t="shared" si="25"/>
        <v xml:space="preserve">(VA) - FAUQUIER </v>
      </c>
      <c r="AI119" s="71">
        <v>843750</v>
      </c>
      <c r="AK119" s="85" t="s">
        <v>793</v>
      </c>
      <c r="AL119" s="86" t="s">
        <v>491</v>
      </c>
      <c r="AM119" s="74" t="str">
        <f t="shared" si="26"/>
        <v>(NY) - ORANGE</v>
      </c>
      <c r="AN119" s="87">
        <v>978750</v>
      </c>
      <c r="AP119" s="72" t="s">
        <v>880</v>
      </c>
      <c r="AQ119" s="73" t="s">
        <v>905</v>
      </c>
      <c r="AR119" s="74" t="str">
        <f t="shared" si="35"/>
        <v>(NC) - PERQUIMANS</v>
      </c>
      <c r="AS119" s="75">
        <v>625500</v>
      </c>
      <c r="AU119" s="35" t="s">
        <v>733</v>
      </c>
      <c r="AV119" s="36" t="s">
        <v>834</v>
      </c>
      <c r="AW119" s="74" t="str">
        <f t="shared" si="32"/>
        <v>(NJ) - HUNTERDON</v>
      </c>
      <c r="AX119" s="76">
        <v>625500</v>
      </c>
      <c r="AZ119" s="37" t="s">
        <v>880</v>
      </c>
      <c r="BA119" s="38" t="s">
        <v>905</v>
      </c>
      <c r="BB119" s="74" t="str">
        <f t="shared" si="33"/>
        <v>(NC) - PERQUIMANS</v>
      </c>
      <c r="BC119" s="76">
        <v>625500</v>
      </c>
      <c r="BE119" s="39" t="s">
        <v>880</v>
      </c>
      <c r="BF119" s="40" t="s">
        <v>900</v>
      </c>
      <c r="BG119" s="41" t="str">
        <f t="shared" si="27"/>
        <v>(NC) - PASQUOTANK</v>
      </c>
      <c r="BH119" s="77">
        <v>625500</v>
      </c>
      <c r="BK119" s="37" t="s">
        <v>733</v>
      </c>
      <c r="BL119" s="38" t="s">
        <v>868</v>
      </c>
      <c r="BM119" s="43" t="str">
        <f t="shared" si="34"/>
        <v>(NJ) - SUSSEX</v>
      </c>
      <c r="BN119" s="76">
        <v>679650</v>
      </c>
      <c r="BQ119" s="38" t="s">
        <v>873</v>
      </c>
      <c r="BR119" s="37" t="s">
        <v>733</v>
      </c>
      <c r="BS119" s="78" t="str">
        <f t="shared" si="28"/>
        <v>(NJ) - UNION</v>
      </c>
      <c r="BT119" s="79">
        <v>726525</v>
      </c>
      <c r="BW119" s="38" t="s">
        <v>906</v>
      </c>
      <c r="BX119" s="37" t="s">
        <v>793</v>
      </c>
      <c r="BY119" s="78" t="str">
        <f t="shared" si="29"/>
        <v xml:space="preserve">(NY) - DUTCHESS </v>
      </c>
      <c r="BZ119" s="80">
        <v>726525</v>
      </c>
      <c r="CC119" s="43" t="s">
        <v>858</v>
      </c>
      <c r="CD119" s="43" t="s">
        <v>888</v>
      </c>
      <c r="CE119" s="37" t="s">
        <v>793</v>
      </c>
      <c r="CF119" s="81" t="str">
        <f t="shared" si="20"/>
        <v>(NY) - ROCKLAND COUNTY</v>
      </c>
      <c r="CG119" s="59">
        <v>822375</v>
      </c>
      <c r="CH119" s="59"/>
      <c r="CI119" s="263" t="s">
        <v>901</v>
      </c>
      <c r="CJ119" s="264" t="s">
        <v>838</v>
      </c>
      <c r="CK119" s="265">
        <v>970800</v>
      </c>
      <c r="CM119" s="43" t="str">
        <f t="shared" si="37"/>
        <v>(PA) - PIKE COUNTY</v>
      </c>
      <c r="CN119" s="269">
        <f t="shared" si="36"/>
        <v>970800</v>
      </c>
      <c r="CO119" s="269"/>
      <c r="CQ119" s="266" t="s">
        <v>907</v>
      </c>
      <c r="CR119" s="267" t="s">
        <v>908</v>
      </c>
      <c r="CS119" s="268">
        <v>890100</v>
      </c>
      <c r="CV119" s="43" t="str">
        <f t="shared" si="30"/>
        <v>(PA) - PIKE COUNTY</v>
      </c>
      <c r="CW119" s="70">
        <f t="shared" si="31"/>
        <v>1089300</v>
      </c>
    </row>
    <row r="120" spans="6:101" ht="15.75" thickBot="1" x14ac:dyDescent="0.3">
      <c r="F120" s="43" t="s">
        <v>909</v>
      </c>
      <c r="G120" s="58">
        <v>681250</v>
      </c>
      <c r="H120" s="58"/>
      <c r="I120" s="43" t="s">
        <v>910</v>
      </c>
      <c r="J120" s="68" t="s">
        <v>843</v>
      </c>
      <c r="K120" s="68" t="str">
        <f t="shared" si="22"/>
        <v xml:space="preserve">(UT ) - SALT LAKE </v>
      </c>
      <c r="L120" s="69">
        <v>612500</v>
      </c>
      <c r="M120" s="68" t="s">
        <v>300</v>
      </c>
      <c r="N120" s="58"/>
      <c r="R120" s="43" t="s">
        <v>855</v>
      </c>
      <c r="S120" s="43" t="s">
        <v>911</v>
      </c>
      <c r="T120" s="68" t="str">
        <f t="shared" si="23"/>
        <v xml:space="preserve">(VA) - MANASSAS PARK </v>
      </c>
      <c r="U120" s="70">
        <v>625500</v>
      </c>
      <c r="Y120" s="43" t="s">
        <v>855</v>
      </c>
      <c r="Z120" s="43" t="s">
        <v>861</v>
      </c>
      <c r="AA120" s="68" t="str">
        <f t="shared" si="24"/>
        <v xml:space="preserve">(VA) - ARLINGTON </v>
      </c>
      <c r="AB120" s="59">
        <v>838750</v>
      </c>
      <c r="AF120" s="68" t="s">
        <v>855</v>
      </c>
      <c r="AG120" s="68" t="s">
        <v>894</v>
      </c>
      <c r="AH120" s="68" t="str">
        <f t="shared" si="25"/>
        <v xml:space="preserve">(VA) - FREDERICKSBURG </v>
      </c>
      <c r="AI120" s="71">
        <v>843750</v>
      </c>
      <c r="AK120" s="72" t="s">
        <v>793</v>
      </c>
      <c r="AL120" s="73" t="s">
        <v>912</v>
      </c>
      <c r="AM120" s="74" t="str">
        <f t="shared" si="26"/>
        <v>(NY) - PUTNAM</v>
      </c>
      <c r="AN120" s="75">
        <v>978750</v>
      </c>
      <c r="AP120" s="72" t="s">
        <v>720</v>
      </c>
      <c r="AQ120" s="73" t="s">
        <v>814</v>
      </c>
      <c r="AR120" s="74" t="str">
        <f t="shared" si="35"/>
        <v>(NH) - ROCKINGHAM</v>
      </c>
      <c r="AS120" s="75">
        <v>511250</v>
      </c>
      <c r="AU120" s="35" t="s">
        <v>733</v>
      </c>
      <c r="AV120" s="36" t="s">
        <v>668</v>
      </c>
      <c r="AW120" s="74" t="str">
        <f t="shared" si="32"/>
        <v>(NJ) - MIDDLESEX</v>
      </c>
      <c r="AX120" s="76">
        <v>625500</v>
      </c>
      <c r="AZ120" s="37" t="s">
        <v>720</v>
      </c>
      <c r="BA120" s="38" t="s">
        <v>814</v>
      </c>
      <c r="BB120" s="74" t="str">
        <f t="shared" si="33"/>
        <v>(NH) - ROCKINGHAM</v>
      </c>
      <c r="BC120" s="76">
        <v>523250</v>
      </c>
      <c r="BE120" s="39" t="s">
        <v>880</v>
      </c>
      <c r="BF120" s="40" t="s">
        <v>905</v>
      </c>
      <c r="BG120" s="41" t="str">
        <f t="shared" si="27"/>
        <v>(NC) - PERQUIMANS</v>
      </c>
      <c r="BH120" s="77">
        <v>625500</v>
      </c>
      <c r="BK120" s="37" t="s">
        <v>733</v>
      </c>
      <c r="BL120" s="38" t="s">
        <v>873</v>
      </c>
      <c r="BM120" s="43" t="str">
        <f t="shared" si="34"/>
        <v>(NJ) - UNION</v>
      </c>
      <c r="BN120" s="76">
        <v>679650</v>
      </c>
      <c r="BQ120" s="38" t="s">
        <v>879</v>
      </c>
      <c r="BR120" s="37" t="s">
        <v>793</v>
      </c>
      <c r="BS120" s="78" t="str">
        <f t="shared" si="28"/>
        <v>(NY) - BRONX</v>
      </c>
      <c r="BT120" s="79">
        <v>726525</v>
      </c>
      <c r="BW120" s="38" t="s">
        <v>801</v>
      </c>
      <c r="BX120" s="37" t="s">
        <v>793</v>
      </c>
      <c r="BY120" s="78" t="str">
        <f t="shared" si="29"/>
        <v xml:space="preserve">(NY) - KINGS </v>
      </c>
      <c r="BZ120" s="80">
        <v>765600</v>
      </c>
      <c r="CC120" s="43" t="s">
        <v>858</v>
      </c>
      <c r="CD120" s="43" t="s">
        <v>771</v>
      </c>
      <c r="CE120" s="37" t="s">
        <v>793</v>
      </c>
      <c r="CF120" s="81" t="str">
        <f t="shared" si="20"/>
        <v>(NY) - SUFFOLK COUNTY</v>
      </c>
      <c r="CG120" s="59">
        <v>822375</v>
      </c>
      <c r="CH120" s="59"/>
      <c r="CI120" s="266" t="s">
        <v>907</v>
      </c>
      <c r="CJ120" s="267" t="s">
        <v>908</v>
      </c>
      <c r="CK120" s="268">
        <v>694600</v>
      </c>
      <c r="CM120" s="43" t="str">
        <f t="shared" si="37"/>
        <v>(TN) - CANNON COUNTY</v>
      </c>
      <c r="CN120" s="269">
        <f t="shared" si="36"/>
        <v>694600</v>
      </c>
      <c r="CO120" s="269"/>
      <c r="CQ120" s="263" t="s">
        <v>913</v>
      </c>
      <c r="CR120" s="264" t="s">
        <v>908</v>
      </c>
      <c r="CS120" s="265">
        <v>890100</v>
      </c>
      <c r="CV120" s="43" t="str">
        <f t="shared" si="30"/>
        <v>(TN) - CANNON COUNTY</v>
      </c>
      <c r="CW120" s="70">
        <f t="shared" si="31"/>
        <v>890100</v>
      </c>
    </row>
    <row r="121" spans="6:101" ht="15.75" thickBot="1" x14ac:dyDescent="0.3">
      <c r="F121" s="43" t="s">
        <v>914</v>
      </c>
      <c r="G121" s="58">
        <v>516250</v>
      </c>
      <c r="H121" s="58"/>
      <c r="I121" s="43" t="s">
        <v>910</v>
      </c>
      <c r="J121" s="68" t="s">
        <v>554</v>
      </c>
      <c r="K121" s="68" t="str">
        <f t="shared" si="22"/>
        <v xml:space="preserve">(UT ) - SUMMIT </v>
      </c>
      <c r="L121" s="69">
        <v>612500</v>
      </c>
      <c r="M121" s="68" t="s">
        <v>300</v>
      </c>
      <c r="N121" s="58"/>
      <c r="R121" s="43" t="s">
        <v>855</v>
      </c>
      <c r="S121" s="43" t="s">
        <v>915</v>
      </c>
      <c r="T121" s="68" t="str">
        <f t="shared" si="23"/>
        <v xml:space="preserve">(VA) - PRINCE WILLIAM </v>
      </c>
      <c r="U121" s="70">
        <v>625500</v>
      </c>
      <c r="Y121" s="43" t="s">
        <v>855</v>
      </c>
      <c r="Z121" s="43" t="s">
        <v>866</v>
      </c>
      <c r="AA121" s="68" t="str">
        <f t="shared" si="24"/>
        <v xml:space="preserve">(VA) - CLARKE </v>
      </c>
      <c r="AB121" s="59">
        <v>838750</v>
      </c>
      <c r="AF121" s="68" t="s">
        <v>855</v>
      </c>
      <c r="AG121" s="68" t="s">
        <v>899</v>
      </c>
      <c r="AH121" s="68" t="str">
        <f t="shared" si="25"/>
        <v xml:space="preserve">(VA) - LOUDOUN </v>
      </c>
      <c r="AI121" s="71">
        <v>843750</v>
      </c>
      <c r="AK121" s="72" t="s">
        <v>793</v>
      </c>
      <c r="AL121" s="73" t="s">
        <v>916</v>
      </c>
      <c r="AM121" s="74" t="str">
        <f t="shared" si="26"/>
        <v>(NY) - QUEENS</v>
      </c>
      <c r="AN121" s="75">
        <v>978750</v>
      </c>
      <c r="AP121" s="72" t="s">
        <v>720</v>
      </c>
      <c r="AQ121" s="73" t="s">
        <v>818</v>
      </c>
      <c r="AR121" s="74" t="str">
        <f t="shared" si="35"/>
        <v>(NH) - STRAFFORD</v>
      </c>
      <c r="AS121" s="75">
        <v>511250</v>
      </c>
      <c r="AU121" s="35" t="s">
        <v>733</v>
      </c>
      <c r="AV121" s="36" t="s">
        <v>844</v>
      </c>
      <c r="AW121" s="74" t="str">
        <f t="shared" si="32"/>
        <v>(NJ) - MONMOUTH</v>
      </c>
      <c r="AX121" s="76">
        <v>625500</v>
      </c>
      <c r="AZ121" s="37" t="s">
        <v>720</v>
      </c>
      <c r="BA121" s="38" t="s">
        <v>818</v>
      </c>
      <c r="BB121" s="74" t="str">
        <f t="shared" si="33"/>
        <v>(NH) - STRAFFORD</v>
      </c>
      <c r="BC121" s="76">
        <v>523250</v>
      </c>
      <c r="BE121" s="39" t="s">
        <v>917</v>
      </c>
      <c r="BF121" s="40" t="s">
        <v>741</v>
      </c>
      <c r="BG121" s="41" t="str">
        <f t="shared" si="27"/>
        <v>(NE) - LINCOLN</v>
      </c>
      <c r="BH121" s="77">
        <v>433550</v>
      </c>
      <c r="BK121" s="37" t="s">
        <v>793</v>
      </c>
      <c r="BL121" s="38" t="s">
        <v>879</v>
      </c>
      <c r="BM121" s="43" t="str">
        <f t="shared" si="34"/>
        <v>(NY) - BRONX</v>
      </c>
      <c r="BN121" s="76">
        <v>679650</v>
      </c>
      <c r="BQ121" s="38" t="s">
        <v>886</v>
      </c>
      <c r="BR121" s="37" t="s">
        <v>793</v>
      </c>
      <c r="BS121" s="78" t="str">
        <f t="shared" si="28"/>
        <v>(NY) - DUTCHESS</v>
      </c>
      <c r="BT121" s="79">
        <v>726525</v>
      </c>
      <c r="BW121" s="38" t="s">
        <v>805</v>
      </c>
      <c r="BX121" s="37" t="s">
        <v>793</v>
      </c>
      <c r="BY121" s="78" t="str">
        <f t="shared" si="29"/>
        <v xml:space="preserve">(NY) - NASSAU </v>
      </c>
      <c r="BZ121" s="80">
        <v>765600</v>
      </c>
      <c r="CC121" s="43" t="s">
        <v>858</v>
      </c>
      <c r="CD121" s="43" t="s">
        <v>897</v>
      </c>
      <c r="CE121" s="37" t="s">
        <v>793</v>
      </c>
      <c r="CF121" s="81" t="str">
        <f t="shared" si="20"/>
        <v>(NY) - WESTCHESTER COUNTY</v>
      </c>
      <c r="CG121" s="59">
        <v>822375</v>
      </c>
      <c r="CH121" s="59"/>
      <c r="CI121" s="263" t="s">
        <v>913</v>
      </c>
      <c r="CJ121" s="264" t="s">
        <v>908</v>
      </c>
      <c r="CK121" s="265">
        <v>694600</v>
      </c>
      <c r="CM121" s="43" t="str">
        <f t="shared" si="37"/>
        <v>(TN) - CHEATHAM COUNTY</v>
      </c>
      <c r="CN121" s="269">
        <f t="shared" si="36"/>
        <v>694600</v>
      </c>
      <c r="CO121" s="269"/>
      <c r="CQ121" s="266" t="s">
        <v>918</v>
      </c>
      <c r="CR121" s="267" t="s">
        <v>908</v>
      </c>
      <c r="CS121" s="268">
        <v>890100</v>
      </c>
      <c r="CV121" s="43" t="str">
        <f t="shared" si="30"/>
        <v>(TN) - CHEATHAM COUNTY</v>
      </c>
      <c r="CW121" s="70">
        <f t="shared" si="31"/>
        <v>890100</v>
      </c>
    </row>
    <row r="122" spans="6:101" ht="15.75" thickBot="1" x14ac:dyDescent="0.3">
      <c r="F122" s="43" t="s">
        <v>919</v>
      </c>
      <c r="G122" s="58">
        <v>516250</v>
      </c>
      <c r="H122" s="58"/>
      <c r="I122" s="43" t="s">
        <v>910</v>
      </c>
      <c r="J122" s="68" t="s">
        <v>851</v>
      </c>
      <c r="K122" s="68" t="str">
        <f t="shared" si="22"/>
        <v xml:space="preserve">(UT ) - TOOELE </v>
      </c>
      <c r="L122" s="69">
        <v>612500</v>
      </c>
      <c r="M122" s="68" t="s">
        <v>300</v>
      </c>
      <c r="N122" s="58"/>
      <c r="R122" s="43" t="s">
        <v>855</v>
      </c>
      <c r="S122" s="43" t="s">
        <v>920</v>
      </c>
      <c r="T122" s="68" t="str">
        <f t="shared" si="23"/>
        <v xml:space="preserve">(VA) - SPOTSYLVANIA </v>
      </c>
      <c r="U122" s="70">
        <v>625500</v>
      </c>
      <c r="Y122" s="43" t="s">
        <v>855</v>
      </c>
      <c r="Z122" s="43" t="s">
        <v>871</v>
      </c>
      <c r="AA122" s="68" t="str">
        <f t="shared" si="24"/>
        <v xml:space="preserve">(VA) - FAIRFAX </v>
      </c>
      <c r="AB122" s="59">
        <v>838750</v>
      </c>
      <c r="AF122" s="68" t="s">
        <v>855</v>
      </c>
      <c r="AG122" s="68" t="s">
        <v>904</v>
      </c>
      <c r="AH122" s="68" t="str">
        <f t="shared" si="25"/>
        <v xml:space="preserve">(VA) - MANASSAS </v>
      </c>
      <c r="AI122" s="71">
        <v>843750</v>
      </c>
      <c r="AK122" s="72" t="s">
        <v>793</v>
      </c>
      <c r="AL122" s="73" t="s">
        <v>921</v>
      </c>
      <c r="AM122" s="74" t="str">
        <f t="shared" si="26"/>
        <v>(NY) - RICHMOND</v>
      </c>
      <c r="AN122" s="75">
        <v>978750</v>
      </c>
      <c r="AP122" s="72" t="s">
        <v>733</v>
      </c>
      <c r="AQ122" s="73" t="s">
        <v>822</v>
      </c>
      <c r="AR122" s="74" t="str">
        <f t="shared" si="35"/>
        <v>(NJ) - BERGEN</v>
      </c>
      <c r="AS122" s="75">
        <v>978750</v>
      </c>
      <c r="AU122" s="35" t="s">
        <v>733</v>
      </c>
      <c r="AV122" s="36" t="s">
        <v>847</v>
      </c>
      <c r="AW122" s="74" t="str">
        <f t="shared" si="32"/>
        <v>(NJ) - MORRIS</v>
      </c>
      <c r="AX122" s="76">
        <v>625500</v>
      </c>
      <c r="AZ122" s="37" t="s">
        <v>733</v>
      </c>
      <c r="BA122" s="38" t="s">
        <v>822</v>
      </c>
      <c r="BB122" s="74" t="str">
        <f t="shared" si="33"/>
        <v>(NJ) - BERGEN</v>
      </c>
      <c r="BC122" s="76">
        <v>625500</v>
      </c>
      <c r="BE122" s="39" t="s">
        <v>917</v>
      </c>
      <c r="BF122" s="40" t="s">
        <v>922</v>
      </c>
      <c r="BG122" s="41" t="str">
        <f t="shared" si="27"/>
        <v>(NE) - LOGAN</v>
      </c>
      <c r="BH122" s="77">
        <v>433550</v>
      </c>
      <c r="BK122" s="37" t="s">
        <v>793</v>
      </c>
      <c r="BL122" s="38" t="s">
        <v>886</v>
      </c>
      <c r="BM122" s="43" t="str">
        <f t="shared" si="34"/>
        <v>(NY) - DUTCHESS</v>
      </c>
      <c r="BN122" s="76">
        <v>679650</v>
      </c>
      <c r="BQ122" s="38" t="s">
        <v>891</v>
      </c>
      <c r="BR122" s="37" t="s">
        <v>793</v>
      </c>
      <c r="BS122" s="78" t="str">
        <f t="shared" si="28"/>
        <v>(NY) - KINGS</v>
      </c>
      <c r="BT122" s="79">
        <v>726525</v>
      </c>
      <c r="BW122" s="38" t="s">
        <v>808</v>
      </c>
      <c r="BX122" s="37" t="s">
        <v>793</v>
      </c>
      <c r="BY122" s="78" t="str">
        <f t="shared" si="29"/>
        <v xml:space="preserve">(NY) - NEW YORK </v>
      </c>
      <c r="BZ122" s="80">
        <v>765600</v>
      </c>
      <c r="CC122" s="43" t="s">
        <v>923</v>
      </c>
      <c r="CD122" s="43" t="s">
        <v>924</v>
      </c>
      <c r="CE122" s="37" t="s">
        <v>880</v>
      </c>
      <c r="CF122" s="81" t="str">
        <f t="shared" si="20"/>
        <v>(NC) - CAMDEN COUNTY</v>
      </c>
      <c r="CG122" s="59">
        <v>625500</v>
      </c>
      <c r="CH122" s="59"/>
      <c r="CI122" s="266" t="s">
        <v>918</v>
      </c>
      <c r="CJ122" s="267" t="s">
        <v>908</v>
      </c>
      <c r="CK122" s="268">
        <v>694600</v>
      </c>
      <c r="CM122" s="43" t="str">
        <f t="shared" si="37"/>
        <v>(TN) - DAVIDSON COUNTY</v>
      </c>
      <c r="CN122" s="269">
        <f t="shared" si="36"/>
        <v>694600</v>
      </c>
      <c r="CO122" s="269"/>
      <c r="CQ122" s="263" t="s">
        <v>925</v>
      </c>
      <c r="CR122" s="264" t="s">
        <v>908</v>
      </c>
      <c r="CS122" s="265">
        <v>890100</v>
      </c>
      <c r="CV122" s="43" t="str">
        <f t="shared" si="30"/>
        <v>(TN) - DAVIDSON COUNTY</v>
      </c>
      <c r="CW122" s="70">
        <f t="shared" si="31"/>
        <v>890100</v>
      </c>
    </row>
    <row r="123" spans="6:101" ht="15.75" thickBot="1" x14ac:dyDescent="0.3">
      <c r="F123" s="43" t="s">
        <v>926</v>
      </c>
      <c r="G123" s="58">
        <v>516250</v>
      </c>
      <c r="H123" s="58"/>
      <c r="I123" s="43" t="s">
        <v>927</v>
      </c>
      <c r="J123" s="68" t="s">
        <v>856</v>
      </c>
      <c r="K123" s="68" t="str">
        <f t="shared" si="22"/>
        <v xml:space="preserve">(VA ) - ALEXANDRIA </v>
      </c>
      <c r="L123" s="69">
        <v>818750</v>
      </c>
      <c r="M123" s="68" t="s">
        <v>592</v>
      </c>
      <c r="N123" s="58"/>
      <c r="R123" s="43" t="s">
        <v>855</v>
      </c>
      <c r="S123" s="43" t="s">
        <v>928</v>
      </c>
      <c r="T123" s="68" t="str">
        <f t="shared" si="23"/>
        <v xml:space="preserve">(VA) - STAFFORD </v>
      </c>
      <c r="U123" s="70">
        <v>625500</v>
      </c>
      <c r="Y123" s="43" t="s">
        <v>855</v>
      </c>
      <c r="Z123" s="43" t="s">
        <v>877</v>
      </c>
      <c r="AA123" s="68" t="str">
        <f t="shared" si="24"/>
        <v xml:space="preserve">(VA) - FAIRFAX IND </v>
      </c>
      <c r="AB123" s="59">
        <v>838750</v>
      </c>
      <c r="AF123" s="68" t="s">
        <v>855</v>
      </c>
      <c r="AG123" s="68" t="s">
        <v>911</v>
      </c>
      <c r="AH123" s="68" t="str">
        <f t="shared" si="25"/>
        <v xml:space="preserve">(VA) - MANASSAS PARK </v>
      </c>
      <c r="AI123" s="71">
        <v>843750</v>
      </c>
      <c r="AK123" s="72" t="s">
        <v>793</v>
      </c>
      <c r="AL123" s="73" t="s">
        <v>929</v>
      </c>
      <c r="AM123" s="74" t="str">
        <f t="shared" si="26"/>
        <v>(NY) - ROCKLAND</v>
      </c>
      <c r="AN123" s="75">
        <v>978750</v>
      </c>
      <c r="AP123" s="72" t="s">
        <v>733</v>
      </c>
      <c r="AQ123" s="73" t="s">
        <v>717</v>
      </c>
      <c r="AR123" s="74" t="str">
        <f t="shared" si="35"/>
        <v>(NJ) - ESSEX</v>
      </c>
      <c r="AS123" s="75">
        <v>978750</v>
      </c>
      <c r="AU123" s="35" t="s">
        <v>733</v>
      </c>
      <c r="AV123" s="36" t="s">
        <v>852</v>
      </c>
      <c r="AW123" s="74" t="str">
        <f t="shared" si="32"/>
        <v>(NJ) - OCEAN</v>
      </c>
      <c r="AX123" s="76">
        <v>625500</v>
      </c>
      <c r="AZ123" s="37" t="s">
        <v>733</v>
      </c>
      <c r="BA123" s="38" t="s">
        <v>717</v>
      </c>
      <c r="BB123" s="74" t="str">
        <f t="shared" si="33"/>
        <v>(NJ) - ESSEX</v>
      </c>
      <c r="BC123" s="76">
        <v>625500</v>
      </c>
      <c r="BE123" s="39" t="s">
        <v>917</v>
      </c>
      <c r="BF123" s="40" t="s">
        <v>930</v>
      </c>
      <c r="BG123" s="41" t="str">
        <f t="shared" si="27"/>
        <v>(NE) - MCPHERSON</v>
      </c>
      <c r="BH123" s="77">
        <v>433550</v>
      </c>
      <c r="BK123" s="37" t="s">
        <v>793</v>
      </c>
      <c r="BL123" s="38" t="s">
        <v>891</v>
      </c>
      <c r="BM123" s="43" t="str">
        <f t="shared" si="34"/>
        <v>(NY) - KINGS</v>
      </c>
      <c r="BN123" s="76">
        <v>679650</v>
      </c>
      <c r="BQ123" s="38" t="s">
        <v>895</v>
      </c>
      <c r="BR123" s="37" t="s">
        <v>793</v>
      </c>
      <c r="BS123" s="78" t="str">
        <f t="shared" si="28"/>
        <v>(NY) - NASSAU</v>
      </c>
      <c r="BT123" s="79">
        <v>726525</v>
      </c>
      <c r="BW123" s="38" t="s">
        <v>481</v>
      </c>
      <c r="BX123" s="37" t="s">
        <v>793</v>
      </c>
      <c r="BY123" s="78" t="str">
        <f t="shared" si="29"/>
        <v xml:space="preserve">(NY) - ORANGE </v>
      </c>
      <c r="BZ123" s="80">
        <v>726525</v>
      </c>
      <c r="CC123" s="43" t="s">
        <v>923</v>
      </c>
      <c r="CD123" s="43" t="s">
        <v>931</v>
      </c>
      <c r="CE123" s="37" t="s">
        <v>880</v>
      </c>
      <c r="CF123" s="81" t="str">
        <f t="shared" si="20"/>
        <v>(NC) - PASQUOTANK COUNTY</v>
      </c>
      <c r="CG123" s="59">
        <v>625500</v>
      </c>
      <c r="CH123" s="59"/>
      <c r="CI123" s="263" t="s">
        <v>925</v>
      </c>
      <c r="CJ123" s="264" t="s">
        <v>908</v>
      </c>
      <c r="CK123" s="265">
        <v>694600</v>
      </c>
      <c r="CM123" s="43" t="str">
        <f t="shared" si="37"/>
        <v>(TN) - DICKSON COUNTY</v>
      </c>
      <c r="CN123" s="269">
        <f t="shared" si="36"/>
        <v>694600</v>
      </c>
      <c r="CO123" s="269"/>
      <c r="CQ123" s="266" t="s">
        <v>932</v>
      </c>
      <c r="CR123" s="267" t="s">
        <v>908</v>
      </c>
      <c r="CS123" s="268">
        <v>890100</v>
      </c>
      <c r="CV123" s="43" t="str">
        <f t="shared" si="30"/>
        <v>(TN) - DICKSON COUNTY</v>
      </c>
      <c r="CW123" s="70">
        <f t="shared" si="31"/>
        <v>890100</v>
      </c>
    </row>
    <row r="124" spans="6:101" ht="15.75" thickBot="1" x14ac:dyDescent="0.3">
      <c r="F124" s="43" t="s">
        <v>933</v>
      </c>
      <c r="G124" s="58">
        <v>768750</v>
      </c>
      <c r="H124" s="58"/>
      <c r="I124" s="43" t="s">
        <v>927</v>
      </c>
      <c r="J124" s="68" t="s">
        <v>861</v>
      </c>
      <c r="K124" s="68" t="str">
        <f t="shared" si="22"/>
        <v xml:space="preserve">(VA ) - ARLINGTON </v>
      </c>
      <c r="L124" s="69">
        <v>818750</v>
      </c>
      <c r="M124" s="68" t="s">
        <v>592</v>
      </c>
      <c r="N124" s="58"/>
      <c r="R124" s="43" t="s">
        <v>855</v>
      </c>
      <c r="S124" s="43" t="s">
        <v>934</v>
      </c>
      <c r="T124" s="68" t="str">
        <f t="shared" si="23"/>
        <v xml:space="preserve">(VA) - WARREN </v>
      </c>
      <c r="U124" s="70">
        <v>625500</v>
      </c>
      <c r="Y124" s="43" t="s">
        <v>855</v>
      </c>
      <c r="Z124" s="43" t="s">
        <v>884</v>
      </c>
      <c r="AA124" s="68" t="str">
        <f t="shared" si="24"/>
        <v xml:space="preserve">(VA) - FALLS CHURCH </v>
      </c>
      <c r="AB124" s="59">
        <v>838750</v>
      </c>
      <c r="AF124" s="68" t="s">
        <v>855</v>
      </c>
      <c r="AG124" s="68" t="s">
        <v>915</v>
      </c>
      <c r="AH124" s="68" t="str">
        <f t="shared" si="25"/>
        <v xml:space="preserve">(VA) - PRINCE WILLIAM </v>
      </c>
      <c r="AI124" s="71">
        <v>843750</v>
      </c>
      <c r="AK124" s="72" t="s">
        <v>793</v>
      </c>
      <c r="AL124" s="73" t="s">
        <v>745</v>
      </c>
      <c r="AM124" s="74" t="str">
        <f t="shared" si="26"/>
        <v>(NY) - SUFFOLK</v>
      </c>
      <c r="AN124" s="75">
        <v>978750</v>
      </c>
      <c r="AP124" s="72" t="s">
        <v>733</v>
      </c>
      <c r="AQ124" s="73" t="s">
        <v>829</v>
      </c>
      <c r="AR124" s="74" t="str">
        <f t="shared" si="35"/>
        <v>(NJ) - HUDSON</v>
      </c>
      <c r="AS124" s="75">
        <v>978750</v>
      </c>
      <c r="AU124" s="35" t="s">
        <v>733</v>
      </c>
      <c r="AV124" s="36" t="s">
        <v>857</v>
      </c>
      <c r="AW124" s="74" t="str">
        <f t="shared" si="32"/>
        <v>(NJ) - PASSAIC</v>
      </c>
      <c r="AX124" s="76">
        <v>625500</v>
      </c>
      <c r="AZ124" s="37" t="s">
        <v>733</v>
      </c>
      <c r="BA124" s="38" t="s">
        <v>829</v>
      </c>
      <c r="BB124" s="74" t="str">
        <f t="shared" si="33"/>
        <v>(NJ) - HUDSON</v>
      </c>
      <c r="BC124" s="76">
        <v>625500</v>
      </c>
      <c r="BE124" s="39" t="s">
        <v>720</v>
      </c>
      <c r="BF124" s="40" t="s">
        <v>814</v>
      </c>
      <c r="BG124" s="41" t="str">
        <f t="shared" si="27"/>
        <v>(NH) - ROCKINGHAM</v>
      </c>
      <c r="BH124" s="77">
        <v>598000</v>
      </c>
      <c r="BK124" s="37" t="s">
        <v>793</v>
      </c>
      <c r="BL124" s="38" t="s">
        <v>895</v>
      </c>
      <c r="BM124" s="43" t="str">
        <f t="shared" si="34"/>
        <v>(NY) - NASSAU</v>
      </c>
      <c r="BN124" s="76">
        <v>679650</v>
      </c>
      <c r="BQ124" s="38" t="s">
        <v>858</v>
      </c>
      <c r="BR124" s="37" t="s">
        <v>793</v>
      </c>
      <c r="BS124" s="78" t="str">
        <f t="shared" si="28"/>
        <v>(NY) - NEW YORK</v>
      </c>
      <c r="BT124" s="79">
        <v>726525</v>
      </c>
      <c r="BW124" s="38" t="s">
        <v>813</v>
      </c>
      <c r="BX124" s="37" t="s">
        <v>793</v>
      </c>
      <c r="BY124" s="78" t="str">
        <f t="shared" si="29"/>
        <v xml:space="preserve">(NY) - PUTNAM </v>
      </c>
      <c r="BZ124" s="80">
        <v>765600</v>
      </c>
      <c r="CC124" s="43" t="s">
        <v>923</v>
      </c>
      <c r="CD124" s="43" t="s">
        <v>935</v>
      </c>
      <c r="CE124" s="37" t="s">
        <v>880</v>
      </c>
      <c r="CF124" s="81" t="str">
        <f t="shared" si="20"/>
        <v>(NC) - PERQUIMANS COUNTY</v>
      </c>
      <c r="CG124" s="59">
        <v>625500</v>
      </c>
      <c r="CH124" s="59"/>
      <c r="CI124" s="266" t="s">
        <v>932</v>
      </c>
      <c r="CJ124" s="267" t="s">
        <v>908</v>
      </c>
      <c r="CK124" s="268">
        <v>694600</v>
      </c>
      <c r="CM124" s="43" t="str">
        <f t="shared" si="37"/>
        <v>(TN) - MACON COUNTY</v>
      </c>
      <c r="CN124" s="269">
        <f t="shared" si="36"/>
        <v>694600</v>
      </c>
      <c r="CO124" s="269"/>
      <c r="CQ124" s="263" t="s">
        <v>936</v>
      </c>
      <c r="CR124" s="264" t="s">
        <v>908</v>
      </c>
      <c r="CS124" s="265">
        <v>890100</v>
      </c>
      <c r="CV124" s="43" t="str">
        <f t="shared" si="30"/>
        <v>(TN) - MACON COUNTY</v>
      </c>
      <c r="CW124" s="70">
        <f t="shared" si="31"/>
        <v>890100</v>
      </c>
    </row>
    <row r="125" spans="6:101" ht="15.75" thickBot="1" x14ac:dyDescent="0.3">
      <c r="F125" s="43" t="s">
        <v>937</v>
      </c>
      <c r="G125" s="58">
        <v>566250</v>
      </c>
      <c r="H125" s="58"/>
      <c r="I125" s="43" t="s">
        <v>927</v>
      </c>
      <c r="J125" s="68" t="s">
        <v>866</v>
      </c>
      <c r="K125" s="68" t="str">
        <f t="shared" si="22"/>
        <v xml:space="preserve">(VA ) - CLARKE </v>
      </c>
      <c r="L125" s="69">
        <v>818750</v>
      </c>
      <c r="M125" s="68" t="s">
        <v>592</v>
      </c>
      <c r="N125" s="58"/>
      <c r="R125" s="43" t="s">
        <v>938</v>
      </c>
      <c r="S125" s="43" t="s">
        <v>939</v>
      </c>
      <c r="T125" s="68" t="str">
        <f t="shared" si="23"/>
        <v xml:space="preserve">(VI) - ST. CROIX </v>
      </c>
      <c r="U125" s="70">
        <v>625500</v>
      </c>
      <c r="Y125" s="43" t="s">
        <v>855</v>
      </c>
      <c r="Z125" s="43" t="s">
        <v>890</v>
      </c>
      <c r="AA125" s="68" t="str">
        <f t="shared" si="24"/>
        <v xml:space="preserve">(VA) - FAUQUIER </v>
      </c>
      <c r="AB125" s="59">
        <v>838750</v>
      </c>
      <c r="AF125" s="68" t="s">
        <v>855</v>
      </c>
      <c r="AG125" s="68" t="s">
        <v>920</v>
      </c>
      <c r="AH125" s="68" t="str">
        <f t="shared" si="25"/>
        <v xml:space="preserve">(VA) - SPOTSYLVANIA </v>
      </c>
      <c r="AI125" s="71">
        <v>843750</v>
      </c>
      <c r="AK125" s="72" t="s">
        <v>793</v>
      </c>
      <c r="AL125" s="73" t="s">
        <v>940</v>
      </c>
      <c r="AM125" s="74" t="str">
        <f t="shared" si="26"/>
        <v>(NY) - WESTCHESTER</v>
      </c>
      <c r="AN125" s="75">
        <v>978750</v>
      </c>
      <c r="AP125" s="72" t="s">
        <v>733</v>
      </c>
      <c r="AQ125" s="73" t="s">
        <v>834</v>
      </c>
      <c r="AR125" s="74" t="str">
        <f t="shared" si="35"/>
        <v>(NJ) - HUNTERDON</v>
      </c>
      <c r="AS125" s="75">
        <v>978750</v>
      </c>
      <c r="AU125" s="35" t="s">
        <v>733</v>
      </c>
      <c r="AV125" s="36" t="s">
        <v>863</v>
      </c>
      <c r="AW125" s="74" t="str">
        <f t="shared" si="32"/>
        <v>(NJ) - SOMERSET</v>
      </c>
      <c r="AX125" s="76">
        <v>625500</v>
      </c>
      <c r="AZ125" s="37" t="s">
        <v>733</v>
      </c>
      <c r="BA125" s="38" t="s">
        <v>834</v>
      </c>
      <c r="BB125" s="74" t="str">
        <f t="shared" si="33"/>
        <v>(NJ) - HUNTERDON</v>
      </c>
      <c r="BC125" s="76">
        <v>625500</v>
      </c>
      <c r="BE125" s="39" t="s">
        <v>720</v>
      </c>
      <c r="BF125" s="40" t="s">
        <v>818</v>
      </c>
      <c r="BG125" s="41" t="str">
        <f t="shared" si="27"/>
        <v>(NH) - STRAFFORD</v>
      </c>
      <c r="BH125" s="77">
        <v>598000</v>
      </c>
      <c r="BK125" s="37" t="s">
        <v>793</v>
      </c>
      <c r="BL125" s="38" t="s">
        <v>858</v>
      </c>
      <c r="BM125" s="43" t="str">
        <f t="shared" si="34"/>
        <v>(NY) - NEW YORK</v>
      </c>
      <c r="BN125" s="76">
        <v>679650</v>
      </c>
      <c r="BQ125" s="38" t="s">
        <v>491</v>
      </c>
      <c r="BR125" s="37" t="s">
        <v>793</v>
      </c>
      <c r="BS125" s="78" t="str">
        <f t="shared" si="28"/>
        <v>(NY) - ORANGE</v>
      </c>
      <c r="BT125" s="79">
        <v>726525</v>
      </c>
      <c r="BW125" s="38" t="s">
        <v>817</v>
      </c>
      <c r="BX125" s="37" t="s">
        <v>793</v>
      </c>
      <c r="BY125" s="78" t="str">
        <f t="shared" si="29"/>
        <v xml:space="preserve">(NY) - QUEENS </v>
      </c>
      <c r="BZ125" s="80">
        <v>765600</v>
      </c>
      <c r="CC125" s="43" t="s">
        <v>941</v>
      </c>
      <c r="CD125" s="43" t="s">
        <v>901</v>
      </c>
      <c r="CE125" s="37" t="s">
        <v>838</v>
      </c>
      <c r="CF125" s="81" t="str">
        <f t="shared" si="20"/>
        <v>(PA) - PIKE COUNTY</v>
      </c>
      <c r="CG125" s="59">
        <v>822375</v>
      </c>
      <c r="CH125" s="59"/>
      <c r="CI125" s="263" t="s">
        <v>936</v>
      </c>
      <c r="CJ125" s="264" t="s">
        <v>908</v>
      </c>
      <c r="CK125" s="265">
        <v>694600</v>
      </c>
      <c r="CM125" s="43" t="str">
        <f t="shared" si="37"/>
        <v>(TN) - MAURY COUNTY</v>
      </c>
      <c r="CN125" s="269">
        <f t="shared" si="36"/>
        <v>694600</v>
      </c>
      <c r="CO125" s="269"/>
      <c r="CQ125" s="266" t="s">
        <v>942</v>
      </c>
      <c r="CR125" s="267" t="s">
        <v>908</v>
      </c>
      <c r="CS125" s="268">
        <v>890100</v>
      </c>
      <c r="CV125" s="43" t="str">
        <f t="shared" si="30"/>
        <v>(TN) - MAURY COUNTY</v>
      </c>
      <c r="CW125" s="70">
        <f t="shared" si="31"/>
        <v>890100</v>
      </c>
    </row>
    <row r="126" spans="6:101" ht="15.75" thickBot="1" x14ac:dyDescent="0.3">
      <c r="F126" s="43" t="s">
        <v>943</v>
      </c>
      <c r="G126" s="58">
        <v>768750</v>
      </c>
      <c r="H126" s="58"/>
      <c r="I126" s="43" t="s">
        <v>927</v>
      </c>
      <c r="J126" s="68" t="s">
        <v>871</v>
      </c>
      <c r="K126" s="68" t="str">
        <f t="shared" si="22"/>
        <v xml:space="preserve">(VA ) - FAIRFAX </v>
      </c>
      <c r="L126" s="69">
        <v>818750</v>
      </c>
      <c r="M126" s="68" t="s">
        <v>592</v>
      </c>
      <c r="N126" s="58"/>
      <c r="R126" s="43" t="s">
        <v>938</v>
      </c>
      <c r="S126" s="43" t="s">
        <v>944</v>
      </c>
      <c r="T126" s="68" t="str">
        <f t="shared" si="23"/>
        <v xml:space="preserve">(VI) - ST. JOHN </v>
      </c>
      <c r="U126" s="70">
        <v>625500</v>
      </c>
      <c r="Y126" s="43" t="s">
        <v>855</v>
      </c>
      <c r="Z126" s="43" t="s">
        <v>894</v>
      </c>
      <c r="AA126" s="68" t="str">
        <f t="shared" si="24"/>
        <v xml:space="preserve">(VA) - FREDERICKSBURG </v>
      </c>
      <c r="AB126" s="59">
        <v>838750</v>
      </c>
      <c r="AF126" s="68" t="s">
        <v>855</v>
      </c>
      <c r="AG126" s="68" t="s">
        <v>928</v>
      </c>
      <c r="AH126" s="68" t="str">
        <f t="shared" si="25"/>
        <v xml:space="preserve">(VA) - STAFFORD </v>
      </c>
      <c r="AI126" s="71">
        <v>843750</v>
      </c>
      <c r="AK126" s="72" t="s">
        <v>838</v>
      </c>
      <c r="AL126" s="73" t="s">
        <v>945</v>
      </c>
      <c r="AM126" s="74" t="str">
        <f t="shared" si="26"/>
        <v>(PA) - PIKE</v>
      </c>
      <c r="AN126" s="75">
        <v>978750</v>
      </c>
      <c r="AP126" s="72" t="s">
        <v>733</v>
      </c>
      <c r="AQ126" s="73" t="s">
        <v>668</v>
      </c>
      <c r="AR126" s="74" t="str">
        <f t="shared" si="35"/>
        <v>(NJ) - MIDDLESEX</v>
      </c>
      <c r="AS126" s="75">
        <v>978750</v>
      </c>
      <c r="AU126" s="35" t="s">
        <v>733</v>
      </c>
      <c r="AV126" s="36" t="s">
        <v>868</v>
      </c>
      <c r="AW126" s="74" t="str">
        <f t="shared" si="32"/>
        <v>(NJ) - SUSSEX</v>
      </c>
      <c r="AX126" s="76">
        <v>625500</v>
      </c>
      <c r="AZ126" s="37" t="s">
        <v>733</v>
      </c>
      <c r="BA126" s="38" t="s">
        <v>668</v>
      </c>
      <c r="BB126" s="74" t="str">
        <f t="shared" si="33"/>
        <v>(NJ) - MIDDLESEX</v>
      </c>
      <c r="BC126" s="76">
        <v>625500</v>
      </c>
      <c r="BE126" s="39" t="s">
        <v>733</v>
      </c>
      <c r="BF126" s="40" t="s">
        <v>822</v>
      </c>
      <c r="BG126" s="41" t="str">
        <f t="shared" si="27"/>
        <v>(NJ) - BERGEN</v>
      </c>
      <c r="BH126" s="77">
        <v>636150</v>
      </c>
      <c r="BK126" s="37" t="s">
        <v>793</v>
      </c>
      <c r="BL126" s="38" t="s">
        <v>491</v>
      </c>
      <c r="BM126" s="43" t="str">
        <f t="shared" si="34"/>
        <v>(NY) - ORANGE</v>
      </c>
      <c r="BN126" s="76">
        <v>679650</v>
      </c>
      <c r="BQ126" s="38" t="s">
        <v>912</v>
      </c>
      <c r="BR126" s="37" t="s">
        <v>793</v>
      </c>
      <c r="BS126" s="78" t="str">
        <f t="shared" si="28"/>
        <v>(NY) - PUTNAM</v>
      </c>
      <c r="BT126" s="79">
        <v>726525</v>
      </c>
      <c r="BW126" s="38" t="s">
        <v>821</v>
      </c>
      <c r="BX126" s="37" t="s">
        <v>793</v>
      </c>
      <c r="BY126" s="78" t="str">
        <f t="shared" si="29"/>
        <v xml:space="preserve">(NY) - RICHMOND </v>
      </c>
      <c r="BZ126" s="80">
        <v>765600</v>
      </c>
      <c r="CC126" s="43" t="s">
        <v>946</v>
      </c>
      <c r="CD126" s="43" t="s">
        <v>907</v>
      </c>
      <c r="CE126" s="37" t="s">
        <v>908</v>
      </c>
      <c r="CF126" s="81" t="str">
        <f t="shared" si="20"/>
        <v>(TN) - CANNON COUNTY</v>
      </c>
      <c r="CG126" s="59">
        <v>586500</v>
      </c>
      <c r="CH126" s="59"/>
      <c r="CI126" s="266" t="s">
        <v>942</v>
      </c>
      <c r="CJ126" s="267" t="s">
        <v>908</v>
      </c>
      <c r="CK126" s="268">
        <v>694600</v>
      </c>
      <c r="CM126" s="43" t="str">
        <f t="shared" si="37"/>
        <v>(TN) - ROBERTSON COUNTY</v>
      </c>
      <c r="CN126" s="269">
        <f t="shared" si="36"/>
        <v>694600</v>
      </c>
      <c r="CO126" s="269"/>
      <c r="CQ126" s="263" t="s">
        <v>947</v>
      </c>
      <c r="CR126" s="264" t="s">
        <v>908</v>
      </c>
      <c r="CS126" s="265">
        <v>890100</v>
      </c>
      <c r="CV126" s="43" t="str">
        <f t="shared" si="30"/>
        <v>(TN) - ROBERTSON COUNTY</v>
      </c>
      <c r="CW126" s="70">
        <f t="shared" si="31"/>
        <v>890100</v>
      </c>
    </row>
    <row r="127" spans="6:101" ht="15.75" thickBot="1" x14ac:dyDescent="0.3">
      <c r="F127" s="43" t="s">
        <v>948</v>
      </c>
      <c r="G127" s="58">
        <v>566250</v>
      </c>
      <c r="H127" s="58"/>
      <c r="I127" s="43" t="s">
        <v>927</v>
      </c>
      <c r="J127" s="68" t="s">
        <v>877</v>
      </c>
      <c r="K127" s="68" t="str">
        <f t="shared" si="22"/>
        <v xml:space="preserve">(VA ) - FAIRFAX IND </v>
      </c>
      <c r="L127" s="69">
        <v>818750</v>
      </c>
      <c r="M127" s="68" t="s">
        <v>592</v>
      </c>
      <c r="N127" s="58"/>
      <c r="R127" s="43" t="s">
        <v>938</v>
      </c>
      <c r="S127" s="43" t="s">
        <v>949</v>
      </c>
      <c r="T127" s="68" t="str">
        <f t="shared" si="23"/>
        <v xml:space="preserve">(VI) - ST. THOMAS </v>
      </c>
      <c r="U127" s="70">
        <v>625500</v>
      </c>
      <c r="Y127" s="43" t="s">
        <v>855</v>
      </c>
      <c r="Z127" s="43" t="s">
        <v>950</v>
      </c>
      <c r="AA127" s="68" t="str">
        <f t="shared" si="24"/>
        <v xml:space="preserve">(VA) - LANCASTER </v>
      </c>
      <c r="AB127" s="59">
        <v>418750</v>
      </c>
      <c r="AF127" s="68" t="s">
        <v>855</v>
      </c>
      <c r="AG127" s="68" t="s">
        <v>934</v>
      </c>
      <c r="AH127" s="68" t="str">
        <f t="shared" si="25"/>
        <v xml:space="preserve">(VA) - WARREN </v>
      </c>
      <c r="AI127" s="71">
        <v>843750</v>
      </c>
      <c r="AK127" s="85" t="s">
        <v>862</v>
      </c>
      <c r="AL127" s="86" t="s">
        <v>709</v>
      </c>
      <c r="AM127" s="74" t="str">
        <f t="shared" si="26"/>
        <v>(RI) - BRISTOL</v>
      </c>
      <c r="AN127" s="87">
        <v>431250</v>
      </c>
      <c r="AP127" s="72" t="s">
        <v>733</v>
      </c>
      <c r="AQ127" s="73" t="s">
        <v>844</v>
      </c>
      <c r="AR127" s="74" t="str">
        <f t="shared" si="35"/>
        <v>(NJ) - MONMOUTH</v>
      </c>
      <c r="AS127" s="75">
        <v>978750</v>
      </c>
      <c r="AU127" s="35" t="s">
        <v>733</v>
      </c>
      <c r="AV127" s="36" t="s">
        <v>873</v>
      </c>
      <c r="AW127" s="74" t="str">
        <f t="shared" si="32"/>
        <v>(NJ) - UNION</v>
      </c>
      <c r="AX127" s="76">
        <v>625500</v>
      </c>
      <c r="AZ127" s="37" t="s">
        <v>733</v>
      </c>
      <c r="BA127" s="38" t="s">
        <v>844</v>
      </c>
      <c r="BB127" s="74" t="str">
        <f t="shared" si="33"/>
        <v>(NJ) - MONMOUTH</v>
      </c>
      <c r="BC127" s="76">
        <v>625500</v>
      </c>
      <c r="BE127" s="39" t="s">
        <v>733</v>
      </c>
      <c r="BF127" s="40" t="s">
        <v>717</v>
      </c>
      <c r="BG127" s="41" t="str">
        <f t="shared" si="27"/>
        <v>(NJ) - ESSEX</v>
      </c>
      <c r="BH127" s="77">
        <v>636150</v>
      </c>
      <c r="BK127" s="37" t="s">
        <v>793</v>
      </c>
      <c r="BL127" s="38" t="s">
        <v>912</v>
      </c>
      <c r="BM127" s="43" t="str">
        <f t="shared" si="34"/>
        <v>(NY) - PUTNAM</v>
      </c>
      <c r="BN127" s="76">
        <v>679650</v>
      </c>
      <c r="BQ127" s="38" t="s">
        <v>916</v>
      </c>
      <c r="BR127" s="37" t="s">
        <v>793</v>
      </c>
      <c r="BS127" s="78" t="str">
        <f t="shared" si="28"/>
        <v>(NY) - QUEENS</v>
      </c>
      <c r="BT127" s="79">
        <v>726525</v>
      </c>
      <c r="BW127" s="38" t="s">
        <v>825</v>
      </c>
      <c r="BX127" s="37" t="s">
        <v>793</v>
      </c>
      <c r="BY127" s="78" t="str">
        <f t="shared" si="29"/>
        <v xml:space="preserve">(NY) - ROCKLAND </v>
      </c>
      <c r="BZ127" s="80">
        <v>765600</v>
      </c>
      <c r="CC127" s="43" t="s">
        <v>946</v>
      </c>
      <c r="CD127" s="43" t="s">
        <v>913</v>
      </c>
      <c r="CE127" s="37" t="s">
        <v>908</v>
      </c>
      <c r="CF127" s="81" t="str">
        <f t="shared" si="20"/>
        <v>(TN) - CHEATHAM COUNTY</v>
      </c>
      <c r="CG127" s="59">
        <v>586500</v>
      </c>
      <c r="CH127" s="59"/>
      <c r="CI127" s="263" t="s">
        <v>947</v>
      </c>
      <c r="CJ127" s="264" t="s">
        <v>908</v>
      </c>
      <c r="CK127" s="265">
        <v>694600</v>
      </c>
      <c r="CM127" s="43" t="str">
        <f t="shared" si="37"/>
        <v>(TN) - RUTHERFORD COUNTY</v>
      </c>
      <c r="CN127" s="269">
        <f t="shared" si="36"/>
        <v>694600</v>
      </c>
      <c r="CO127" s="269"/>
      <c r="CQ127" s="266" t="s">
        <v>951</v>
      </c>
      <c r="CR127" s="267" t="s">
        <v>908</v>
      </c>
      <c r="CS127" s="268">
        <v>890100</v>
      </c>
      <c r="CV127" s="43" t="str">
        <f t="shared" si="30"/>
        <v>(TN) - RUTHERFORD COUNTY</v>
      </c>
      <c r="CW127" s="70">
        <f t="shared" si="31"/>
        <v>890100</v>
      </c>
    </row>
    <row r="128" spans="6:101" ht="15.75" thickBot="1" x14ac:dyDescent="0.3">
      <c r="F128" s="43" t="s">
        <v>952</v>
      </c>
      <c r="G128" s="58">
        <v>566250</v>
      </c>
      <c r="H128" s="58"/>
      <c r="I128" s="43" t="s">
        <v>927</v>
      </c>
      <c r="J128" s="68" t="s">
        <v>884</v>
      </c>
      <c r="K128" s="68" t="str">
        <f t="shared" si="22"/>
        <v xml:space="preserve">(VA ) - FALLS CHURCH </v>
      </c>
      <c r="L128" s="69">
        <v>818750</v>
      </c>
      <c r="M128" s="68" t="s">
        <v>592</v>
      </c>
      <c r="N128" s="58"/>
      <c r="R128" s="43" t="s">
        <v>953</v>
      </c>
      <c r="S128" s="43" t="s">
        <v>954</v>
      </c>
      <c r="T128" s="68" t="str">
        <f t="shared" si="23"/>
        <v xml:space="preserve">(WA) - KING </v>
      </c>
      <c r="U128" s="70">
        <v>458850</v>
      </c>
      <c r="Y128" s="43" t="s">
        <v>855</v>
      </c>
      <c r="Z128" s="43" t="s">
        <v>899</v>
      </c>
      <c r="AA128" s="68" t="str">
        <f t="shared" si="24"/>
        <v xml:space="preserve">(VA) - LOUDOUN </v>
      </c>
      <c r="AB128" s="59">
        <v>838750</v>
      </c>
      <c r="AF128" s="68" t="s">
        <v>938</v>
      </c>
      <c r="AG128" s="68" t="s">
        <v>939</v>
      </c>
      <c r="AH128" s="68" t="str">
        <f t="shared" si="25"/>
        <v xml:space="preserve">(VI) - ST. CROIX </v>
      </c>
      <c r="AI128" s="71">
        <v>625500</v>
      </c>
      <c r="AK128" s="85" t="s">
        <v>862</v>
      </c>
      <c r="AL128" s="86" t="s">
        <v>955</v>
      </c>
      <c r="AM128" s="74" t="str">
        <f t="shared" si="26"/>
        <v>(RI) - KENT</v>
      </c>
      <c r="AN128" s="87">
        <v>431250</v>
      </c>
      <c r="AP128" s="72" t="s">
        <v>733</v>
      </c>
      <c r="AQ128" s="73" t="s">
        <v>847</v>
      </c>
      <c r="AR128" s="74" t="str">
        <f t="shared" si="35"/>
        <v>(NJ) - MORRIS</v>
      </c>
      <c r="AS128" s="75">
        <v>978750</v>
      </c>
      <c r="AU128" s="35" t="s">
        <v>793</v>
      </c>
      <c r="AV128" s="36" t="s">
        <v>879</v>
      </c>
      <c r="AW128" s="74" t="str">
        <f t="shared" si="32"/>
        <v>(NY) - BRONX</v>
      </c>
      <c r="AX128" s="76">
        <v>625500</v>
      </c>
      <c r="AZ128" s="37" t="s">
        <v>733</v>
      </c>
      <c r="BA128" s="38" t="s">
        <v>847</v>
      </c>
      <c r="BB128" s="74" t="str">
        <f t="shared" si="33"/>
        <v>(NJ) - MORRIS</v>
      </c>
      <c r="BC128" s="76">
        <v>625500</v>
      </c>
      <c r="BE128" s="39" t="s">
        <v>733</v>
      </c>
      <c r="BF128" s="40" t="s">
        <v>829</v>
      </c>
      <c r="BG128" s="41" t="str">
        <f t="shared" si="27"/>
        <v>(NJ) - HUDSON</v>
      </c>
      <c r="BH128" s="77">
        <v>636150</v>
      </c>
      <c r="BK128" s="37" t="s">
        <v>793</v>
      </c>
      <c r="BL128" s="38" t="s">
        <v>916</v>
      </c>
      <c r="BM128" s="43" t="str">
        <f t="shared" si="34"/>
        <v>(NY) - QUEENS</v>
      </c>
      <c r="BN128" s="76">
        <v>679650</v>
      </c>
      <c r="BQ128" s="38" t="s">
        <v>921</v>
      </c>
      <c r="BR128" s="37" t="s">
        <v>793</v>
      </c>
      <c r="BS128" s="78" t="str">
        <f t="shared" si="28"/>
        <v>(NY) - RICHMOND</v>
      </c>
      <c r="BT128" s="79">
        <v>726525</v>
      </c>
      <c r="BW128" s="38" t="s">
        <v>654</v>
      </c>
      <c r="BX128" s="37" t="s">
        <v>793</v>
      </c>
      <c r="BY128" s="78" t="str">
        <f t="shared" si="29"/>
        <v xml:space="preserve">(NY) - SUFFOLK </v>
      </c>
      <c r="BZ128" s="80">
        <v>765600</v>
      </c>
      <c r="CC128" s="43" t="s">
        <v>946</v>
      </c>
      <c r="CD128" s="43" t="s">
        <v>918</v>
      </c>
      <c r="CE128" s="37" t="s">
        <v>908</v>
      </c>
      <c r="CF128" s="81" t="str">
        <f t="shared" si="20"/>
        <v>(TN) - DAVIDSON COUNTY</v>
      </c>
      <c r="CG128" s="59">
        <v>586500</v>
      </c>
      <c r="CH128" s="59"/>
      <c r="CI128" s="266" t="s">
        <v>951</v>
      </c>
      <c r="CJ128" s="267" t="s">
        <v>908</v>
      </c>
      <c r="CK128" s="268">
        <v>694600</v>
      </c>
      <c r="CM128" s="43" t="str">
        <f t="shared" si="37"/>
        <v>(TN) - SMITH COUNTY</v>
      </c>
      <c r="CN128" s="269">
        <f t="shared" si="36"/>
        <v>694600</v>
      </c>
      <c r="CO128" s="269"/>
      <c r="CQ128" s="263" t="s">
        <v>956</v>
      </c>
      <c r="CR128" s="264" t="s">
        <v>908</v>
      </c>
      <c r="CS128" s="265">
        <v>890100</v>
      </c>
      <c r="CV128" s="43" t="str">
        <f t="shared" si="30"/>
        <v>(TN) - SMITH COUNTY</v>
      </c>
      <c r="CW128" s="70">
        <f t="shared" si="31"/>
        <v>890100</v>
      </c>
    </row>
    <row r="129" spans="6:101" ht="15.75" thickBot="1" x14ac:dyDescent="0.3">
      <c r="F129" s="43" t="s">
        <v>957</v>
      </c>
      <c r="G129" s="58">
        <v>460000</v>
      </c>
      <c r="H129" s="58"/>
      <c r="I129" s="43" t="s">
        <v>927</v>
      </c>
      <c r="J129" s="68" t="s">
        <v>890</v>
      </c>
      <c r="K129" s="68" t="str">
        <f t="shared" si="22"/>
        <v xml:space="preserve">(VA ) - FAUQUIER </v>
      </c>
      <c r="L129" s="69">
        <v>818750</v>
      </c>
      <c r="M129" s="68" t="s">
        <v>592</v>
      </c>
      <c r="N129" s="58"/>
      <c r="R129" s="43" t="s">
        <v>953</v>
      </c>
      <c r="S129" s="43" t="s">
        <v>958</v>
      </c>
      <c r="T129" s="68" t="str">
        <f t="shared" si="23"/>
        <v xml:space="preserve">(WA) - PIERCE </v>
      </c>
      <c r="U129" s="70">
        <v>458850</v>
      </c>
      <c r="Y129" s="43" t="s">
        <v>855</v>
      </c>
      <c r="Z129" s="43" t="s">
        <v>904</v>
      </c>
      <c r="AA129" s="68" t="str">
        <f t="shared" si="24"/>
        <v xml:space="preserve">(VA) - MANASSAS </v>
      </c>
      <c r="AB129" s="59">
        <v>838750</v>
      </c>
      <c r="AF129" s="68" t="s">
        <v>938</v>
      </c>
      <c r="AG129" s="68" t="s">
        <v>959</v>
      </c>
      <c r="AH129" s="68" t="str">
        <f t="shared" si="25"/>
        <v xml:space="preserve">(VI) - ST. JOHN,VI </v>
      </c>
      <c r="AI129" s="71">
        <v>630000</v>
      </c>
      <c r="AK129" s="85" t="s">
        <v>862</v>
      </c>
      <c r="AL129" s="86" t="s">
        <v>960</v>
      </c>
      <c r="AM129" s="74" t="str">
        <f t="shared" si="26"/>
        <v>(RI) - NEWPORT</v>
      </c>
      <c r="AN129" s="87">
        <v>431250</v>
      </c>
      <c r="AP129" s="72" t="s">
        <v>733</v>
      </c>
      <c r="AQ129" s="73" t="s">
        <v>852</v>
      </c>
      <c r="AR129" s="74" t="str">
        <f t="shared" si="35"/>
        <v>(NJ) - OCEAN</v>
      </c>
      <c r="AS129" s="75">
        <v>978750</v>
      </c>
      <c r="AU129" s="35" t="s">
        <v>793</v>
      </c>
      <c r="AV129" s="36" t="s">
        <v>886</v>
      </c>
      <c r="AW129" s="74" t="str">
        <f t="shared" si="32"/>
        <v>(NY) - DUTCHESS</v>
      </c>
      <c r="AX129" s="76">
        <v>625500</v>
      </c>
      <c r="AZ129" s="37" t="s">
        <v>733</v>
      </c>
      <c r="BA129" s="38" t="s">
        <v>852</v>
      </c>
      <c r="BB129" s="74" t="str">
        <f t="shared" si="33"/>
        <v>(NJ) - OCEAN</v>
      </c>
      <c r="BC129" s="76">
        <v>625500</v>
      </c>
      <c r="BE129" s="39" t="s">
        <v>733</v>
      </c>
      <c r="BF129" s="40" t="s">
        <v>834</v>
      </c>
      <c r="BG129" s="41" t="str">
        <f t="shared" si="27"/>
        <v>(NJ) - HUNTERDON</v>
      </c>
      <c r="BH129" s="77">
        <v>636150</v>
      </c>
      <c r="BK129" s="37" t="s">
        <v>793</v>
      </c>
      <c r="BL129" s="38" t="s">
        <v>921</v>
      </c>
      <c r="BM129" s="43" t="str">
        <f t="shared" si="34"/>
        <v>(NY) - RICHMOND</v>
      </c>
      <c r="BN129" s="76">
        <v>679650</v>
      </c>
      <c r="BQ129" s="38" t="s">
        <v>929</v>
      </c>
      <c r="BR129" s="37" t="s">
        <v>793</v>
      </c>
      <c r="BS129" s="78" t="str">
        <f t="shared" si="28"/>
        <v>(NY) - ROCKLAND</v>
      </c>
      <c r="BT129" s="79">
        <v>726525</v>
      </c>
      <c r="BW129" s="38" t="s">
        <v>833</v>
      </c>
      <c r="BX129" s="37" t="s">
        <v>793</v>
      </c>
      <c r="BY129" s="78" t="str">
        <f t="shared" si="29"/>
        <v xml:space="preserve">(NY) - WESTCHESTER </v>
      </c>
      <c r="BZ129" s="80">
        <v>765600</v>
      </c>
      <c r="CC129" s="43" t="s">
        <v>946</v>
      </c>
      <c r="CD129" s="43" t="s">
        <v>925</v>
      </c>
      <c r="CE129" s="37" t="s">
        <v>908</v>
      </c>
      <c r="CF129" s="81" t="str">
        <f t="shared" si="20"/>
        <v>(TN) - DICKSON COUNTY</v>
      </c>
      <c r="CG129" s="59">
        <v>586500</v>
      </c>
      <c r="CH129" s="59"/>
      <c r="CI129" s="263" t="s">
        <v>956</v>
      </c>
      <c r="CJ129" s="264" t="s">
        <v>908</v>
      </c>
      <c r="CK129" s="265">
        <v>694600</v>
      </c>
      <c r="CM129" s="43" t="str">
        <f t="shared" si="37"/>
        <v>(TN) - SUMNER COUNTY</v>
      </c>
      <c r="CN129" s="269">
        <f t="shared" si="36"/>
        <v>694600</v>
      </c>
      <c r="CO129" s="269"/>
      <c r="CQ129" s="266" t="s">
        <v>961</v>
      </c>
      <c r="CR129" s="267" t="s">
        <v>908</v>
      </c>
      <c r="CS129" s="268">
        <v>890100</v>
      </c>
      <c r="CV129" s="43" t="str">
        <f t="shared" si="30"/>
        <v>(TN) - SUMNER COUNTY</v>
      </c>
      <c r="CW129" s="70">
        <f t="shared" si="31"/>
        <v>890100</v>
      </c>
    </row>
    <row r="130" spans="6:101" ht="15.75" thickBot="1" x14ac:dyDescent="0.3">
      <c r="F130" s="43" t="s">
        <v>962</v>
      </c>
      <c r="G130" s="58">
        <v>566250</v>
      </c>
      <c r="H130" s="58"/>
      <c r="I130" s="43" t="s">
        <v>927</v>
      </c>
      <c r="J130" s="68" t="s">
        <v>894</v>
      </c>
      <c r="K130" s="68" t="str">
        <f t="shared" si="22"/>
        <v xml:space="preserve">(VA ) - FREDERICKSBURG </v>
      </c>
      <c r="L130" s="69">
        <v>818750</v>
      </c>
      <c r="M130" s="68" t="s">
        <v>592</v>
      </c>
      <c r="N130" s="58"/>
      <c r="R130" s="43" t="s">
        <v>953</v>
      </c>
      <c r="S130" s="43" t="s">
        <v>963</v>
      </c>
      <c r="T130" s="68" t="str">
        <f t="shared" si="23"/>
        <v xml:space="preserve">(WA) - SAN JUAN </v>
      </c>
      <c r="U130" s="70">
        <v>432400</v>
      </c>
      <c r="Y130" s="43" t="s">
        <v>855</v>
      </c>
      <c r="Z130" s="43" t="s">
        <v>911</v>
      </c>
      <c r="AA130" s="68" t="str">
        <f t="shared" si="24"/>
        <v xml:space="preserve">(VA) - MANASSAS PARK </v>
      </c>
      <c r="AB130" s="59">
        <v>838750</v>
      </c>
      <c r="AF130" s="68" t="s">
        <v>938</v>
      </c>
      <c r="AG130" s="68" t="s">
        <v>949</v>
      </c>
      <c r="AH130" s="68" t="str">
        <f t="shared" si="25"/>
        <v xml:space="preserve">(VI) - ST. THOMAS </v>
      </c>
      <c r="AI130" s="71">
        <v>625500</v>
      </c>
      <c r="AK130" s="85" t="s">
        <v>862</v>
      </c>
      <c r="AL130" s="86" t="s">
        <v>964</v>
      </c>
      <c r="AM130" s="74" t="str">
        <f t="shared" si="26"/>
        <v>(RI) - PROVIDENCE</v>
      </c>
      <c r="AN130" s="87">
        <v>431250</v>
      </c>
      <c r="AP130" s="72" t="s">
        <v>733</v>
      </c>
      <c r="AQ130" s="73" t="s">
        <v>857</v>
      </c>
      <c r="AR130" s="74" t="str">
        <f t="shared" si="35"/>
        <v>(NJ) - PASSAIC</v>
      </c>
      <c r="AS130" s="75">
        <v>978750</v>
      </c>
      <c r="AU130" s="35" t="s">
        <v>793</v>
      </c>
      <c r="AV130" s="36" t="s">
        <v>891</v>
      </c>
      <c r="AW130" s="74" t="str">
        <f t="shared" si="32"/>
        <v>(NY) - KINGS</v>
      </c>
      <c r="AX130" s="76">
        <v>625500</v>
      </c>
      <c r="AZ130" s="37" t="s">
        <v>733</v>
      </c>
      <c r="BA130" s="38" t="s">
        <v>857</v>
      </c>
      <c r="BB130" s="74" t="str">
        <f t="shared" si="33"/>
        <v>(NJ) - PASSAIC</v>
      </c>
      <c r="BC130" s="76">
        <v>625500</v>
      </c>
      <c r="BE130" s="39" t="s">
        <v>733</v>
      </c>
      <c r="BF130" s="40" t="s">
        <v>668</v>
      </c>
      <c r="BG130" s="41" t="str">
        <f t="shared" si="27"/>
        <v>(NJ) - MIDDLESEX</v>
      </c>
      <c r="BH130" s="77">
        <v>636150</v>
      </c>
      <c r="BK130" s="37" t="s">
        <v>793</v>
      </c>
      <c r="BL130" s="38" t="s">
        <v>929</v>
      </c>
      <c r="BM130" s="43" t="str">
        <f t="shared" si="34"/>
        <v>(NY) - ROCKLAND</v>
      </c>
      <c r="BN130" s="76">
        <v>679650</v>
      </c>
      <c r="BQ130" s="38" t="s">
        <v>745</v>
      </c>
      <c r="BR130" s="37" t="s">
        <v>793</v>
      </c>
      <c r="BS130" s="78" t="str">
        <f t="shared" si="28"/>
        <v>(NY) - SUFFOLK</v>
      </c>
      <c r="BT130" s="79">
        <v>726525</v>
      </c>
      <c r="BW130" s="38" t="s">
        <v>774</v>
      </c>
      <c r="BX130" s="37" t="s">
        <v>880</v>
      </c>
      <c r="BY130" s="78" t="str">
        <f t="shared" si="29"/>
        <v xml:space="preserve">(NC) - CAMDEN </v>
      </c>
      <c r="BZ130" s="80">
        <v>625500</v>
      </c>
      <c r="CC130" s="43" t="s">
        <v>946</v>
      </c>
      <c r="CD130" s="43" t="s">
        <v>932</v>
      </c>
      <c r="CE130" s="37" t="s">
        <v>908</v>
      </c>
      <c r="CF130" s="81" t="str">
        <f t="shared" si="20"/>
        <v>(TN) - MACON COUNTY</v>
      </c>
      <c r="CG130" s="59">
        <v>586500</v>
      </c>
      <c r="CH130" s="59"/>
      <c r="CI130" s="266" t="s">
        <v>961</v>
      </c>
      <c r="CJ130" s="267" t="s">
        <v>908</v>
      </c>
      <c r="CK130" s="268">
        <v>694600</v>
      </c>
      <c r="CM130" s="43" t="str">
        <f t="shared" si="37"/>
        <v>(TN) - TROUSDALE COUNTY</v>
      </c>
      <c r="CN130" s="269">
        <f t="shared" ref="CN130:CN161" si="38">CK130</f>
        <v>694600</v>
      </c>
      <c r="CO130" s="269"/>
      <c r="CQ130" s="263" t="s">
        <v>965</v>
      </c>
      <c r="CR130" s="264" t="s">
        <v>908</v>
      </c>
      <c r="CS130" s="265">
        <v>890100</v>
      </c>
      <c r="CV130" s="43" t="str">
        <f t="shared" si="30"/>
        <v>(TN) - TROUSDALE COUNTY</v>
      </c>
      <c r="CW130" s="70">
        <f t="shared" si="31"/>
        <v>890100</v>
      </c>
    </row>
    <row r="131" spans="6:101" ht="15.75" thickBot="1" x14ac:dyDescent="0.3">
      <c r="F131" s="43" t="s">
        <v>966</v>
      </c>
      <c r="G131" s="58">
        <v>768750</v>
      </c>
      <c r="H131" s="58"/>
      <c r="I131" s="43" t="s">
        <v>927</v>
      </c>
      <c r="J131" s="68" t="s">
        <v>950</v>
      </c>
      <c r="K131" s="68" t="str">
        <f t="shared" si="22"/>
        <v xml:space="preserve">(VA ) - LANCASTER </v>
      </c>
      <c r="L131" s="69">
        <v>425000</v>
      </c>
      <c r="M131" s="68" t="s">
        <v>592</v>
      </c>
      <c r="N131" s="58"/>
      <c r="R131" s="43" t="s">
        <v>953</v>
      </c>
      <c r="S131" s="43" t="s">
        <v>967</v>
      </c>
      <c r="T131" s="68" t="str">
        <f t="shared" si="23"/>
        <v xml:space="preserve">(WA) - SNOHOMISH </v>
      </c>
      <c r="U131" s="70">
        <v>458850</v>
      </c>
      <c r="Y131" s="43" t="s">
        <v>855</v>
      </c>
      <c r="Z131" s="43" t="s">
        <v>915</v>
      </c>
      <c r="AA131" s="68" t="str">
        <f t="shared" si="24"/>
        <v xml:space="preserve">(VA) - PRINCE WILLIAM </v>
      </c>
      <c r="AB131" s="59">
        <v>838750</v>
      </c>
      <c r="AF131" s="68" t="s">
        <v>953</v>
      </c>
      <c r="AG131" s="68" t="s">
        <v>954</v>
      </c>
      <c r="AH131" s="68" t="str">
        <f t="shared" si="25"/>
        <v xml:space="preserve">(WA) - KING </v>
      </c>
      <c r="AI131" s="71">
        <v>500000</v>
      </c>
      <c r="AK131" s="85" t="s">
        <v>862</v>
      </c>
      <c r="AL131" s="86" t="s">
        <v>968</v>
      </c>
      <c r="AM131" s="74" t="str">
        <f t="shared" si="26"/>
        <v>(RI) - WASHINGTON</v>
      </c>
      <c r="AN131" s="87">
        <v>431250</v>
      </c>
      <c r="AP131" s="72" t="s">
        <v>733</v>
      </c>
      <c r="AQ131" s="73" t="s">
        <v>863</v>
      </c>
      <c r="AR131" s="74" t="str">
        <f t="shared" si="35"/>
        <v>(NJ) - SOMERSET</v>
      </c>
      <c r="AS131" s="75">
        <v>978750</v>
      </c>
      <c r="AU131" s="35" t="s">
        <v>793</v>
      </c>
      <c r="AV131" s="36" t="s">
        <v>895</v>
      </c>
      <c r="AW131" s="74" t="str">
        <f t="shared" si="32"/>
        <v>(NY) - NASSAU</v>
      </c>
      <c r="AX131" s="76">
        <v>625500</v>
      </c>
      <c r="AZ131" s="37" t="s">
        <v>733</v>
      </c>
      <c r="BA131" s="38" t="s">
        <v>863</v>
      </c>
      <c r="BB131" s="74" t="str">
        <f t="shared" si="33"/>
        <v>(NJ) - SOMERSET</v>
      </c>
      <c r="BC131" s="76">
        <v>625500</v>
      </c>
      <c r="BE131" s="39" t="s">
        <v>733</v>
      </c>
      <c r="BF131" s="40" t="s">
        <v>844</v>
      </c>
      <c r="BG131" s="41" t="str">
        <f t="shared" si="27"/>
        <v>(NJ) - MONMOUTH</v>
      </c>
      <c r="BH131" s="77">
        <v>636150</v>
      </c>
      <c r="BK131" s="37" t="s">
        <v>793</v>
      </c>
      <c r="BL131" s="38" t="s">
        <v>745</v>
      </c>
      <c r="BM131" s="43" t="str">
        <f t="shared" si="34"/>
        <v>(NY) - SUFFOLK</v>
      </c>
      <c r="BN131" s="76">
        <v>679650</v>
      </c>
      <c r="BQ131" s="38" t="s">
        <v>940</v>
      </c>
      <c r="BR131" s="37" t="s">
        <v>793</v>
      </c>
      <c r="BS131" s="78" t="str">
        <f t="shared" si="28"/>
        <v>(NY) - WESTCHESTER</v>
      </c>
      <c r="BT131" s="79">
        <v>726525</v>
      </c>
      <c r="BW131" s="38" t="s">
        <v>779</v>
      </c>
      <c r="BX131" s="37" t="s">
        <v>880</v>
      </c>
      <c r="BY131" s="78" t="str">
        <f t="shared" si="29"/>
        <v xml:space="preserve">(NC) - PASQUOTANK </v>
      </c>
      <c r="BZ131" s="80">
        <v>625500</v>
      </c>
      <c r="CC131" s="43" t="s">
        <v>946</v>
      </c>
      <c r="CD131" s="43" t="s">
        <v>936</v>
      </c>
      <c r="CE131" s="37" t="s">
        <v>908</v>
      </c>
      <c r="CF131" s="81" t="str">
        <f t="shared" ref="CF131:CF169" si="39">CONCATENATE("(",CE131,") - ",CD131)</f>
        <v>(TN) - MAURY COUNTY</v>
      </c>
      <c r="CG131" s="59">
        <v>586500</v>
      </c>
      <c r="CH131" s="59"/>
      <c r="CI131" s="263" t="s">
        <v>965</v>
      </c>
      <c r="CJ131" s="264" t="s">
        <v>908</v>
      </c>
      <c r="CK131" s="265">
        <v>694600</v>
      </c>
      <c r="CM131" s="43" t="str">
        <f t="shared" ref="CM131:CM161" si="40">CONCATENATE("(",CJ131,") - ",CI131)</f>
        <v>(TN) - WILLIAMSON COUNTY</v>
      </c>
      <c r="CN131" s="269">
        <f t="shared" si="38"/>
        <v>694600</v>
      </c>
      <c r="CO131" s="269"/>
      <c r="CQ131" s="266" t="s">
        <v>969</v>
      </c>
      <c r="CR131" s="267" t="s">
        <v>908</v>
      </c>
      <c r="CS131" s="268">
        <v>890100</v>
      </c>
      <c r="CV131" s="43" t="str">
        <f t="shared" si="30"/>
        <v>(TN) - WILLIAMSON COUNTY</v>
      </c>
      <c r="CW131" s="70">
        <f t="shared" si="31"/>
        <v>890100</v>
      </c>
    </row>
    <row r="132" spans="6:101" ht="15.75" thickBot="1" x14ac:dyDescent="0.3">
      <c r="F132" s="43" t="s">
        <v>970</v>
      </c>
      <c r="G132" s="58">
        <v>566250</v>
      </c>
      <c r="H132" s="58"/>
      <c r="I132" s="43" t="s">
        <v>927</v>
      </c>
      <c r="J132" s="68" t="s">
        <v>899</v>
      </c>
      <c r="K132" s="68" t="str">
        <f t="shared" ref="K132:K148" si="41">CONCATENATE("(",I132,") - ",J132)</f>
        <v xml:space="preserve">(VA ) - LOUDOUN </v>
      </c>
      <c r="L132" s="69">
        <v>818750</v>
      </c>
      <c r="M132" s="68" t="s">
        <v>592</v>
      </c>
      <c r="N132" s="58"/>
      <c r="R132" s="43" t="s">
        <v>971</v>
      </c>
      <c r="S132" s="43" t="s">
        <v>631</v>
      </c>
      <c r="T132" s="68" t="str">
        <f>CONCATENATE("(",R132,") - ",S132)</f>
        <v xml:space="preserve">(WV) - JEFFERSON </v>
      </c>
      <c r="U132" s="70">
        <v>625500</v>
      </c>
      <c r="Y132" s="43" t="s">
        <v>855</v>
      </c>
      <c r="Z132" s="43" t="s">
        <v>920</v>
      </c>
      <c r="AA132" s="68" t="str">
        <f t="shared" ref="AA132:AA143" si="42">CONCATENATE("(",Y132,") - ",Z132)</f>
        <v xml:space="preserve">(VA) - SPOTSYLVANIA </v>
      </c>
      <c r="AB132" s="59">
        <v>838750</v>
      </c>
      <c r="AF132" s="68" t="s">
        <v>953</v>
      </c>
      <c r="AG132" s="68" t="s">
        <v>958</v>
      </c>
      <c r="AH132" s="68" t="str">
        <f>CONCATENATE("(",AF132,") - ",AG132)</f>
        <v xml:space="preserve">(WA) - PIERCE </v>
      </c>
      <c r="AI132" s="71">
        <v>500000</v>
      </c>
      <c r="AK132" s="85" t="s">
        <v>908</v>
      </c>
      <c r="AL132" s="86" t="s">
        <v>972</v>
      </c>
      <c r="AM132" s="74" t="str">
        <f t="shared" ref="AM132:AM173" si="43">CONCATENATE("(",AK132,") - ",AL132)</f>
        <v>(TN) - CANNON</v>
      </c>
      <c r="AN132" s="87">
        <v>417500</v>
      </c>
      <c r="AP132" s="72" t="s">
        <v>733</v>
      </c>
      <c r="AQ132" s="73" t="s">
        <v>868</v>
      </c>
      <c r="AR132" s="74" t="str">
        <f t="shared" si="35"/>
        <v>(NJ) - SUSSEX</v>
      </c>
      <c r="AS132" s="75">
        <v>978750</v>
      </c>
      <c r="AU132" s="35" t="s">
        <v>793</v>
      </c>
      <c r="AV132" s="36" t="s">
        <v>858</v>
      </c>
      <c r="AW132" s="74" t="str">
        <f t="shared" si="32"/>
        <v>(NY) - NEW YORK</v>
      </c>
      <c r="AX132" s="76">
        <v>625500</v>
      </c>
      <c r="AZ132" s="37" t="s">
        <v>733</v>
      </c>
      <c r="BA132" s="38" t="s">
        <v>868</v>
      </c>
      <c r="BB132" s="74" t="str">
        <f t="shared" si="33"/>
        <v>(NJ) - SUSSEX</v>
      </c>
      <c r="BC132" s="76">
        <v>625500</v>
      </c>
      <c r="BE132" s="39" t="s">
        <v>733</v>
      </c>
      <c r="BF132" s="40" t="s">
        <v>847</v>
      </c>
      <c r="BG132" s="41" t="str">
        <f t="shared" ref="BG132:BG195" si="44">CONCATENATE("(",BE132,") - ",BF132)</f>
        <v>(NJ) - MORRIS</v>
      </c>
      <c r="BH132" s="77">
        <v>636150</v>
      </c>
      <c r="BK132" s="37" t="s">
        <v>793</v>
      </c>
      <c r="BL132" s="38" t="s">
        <v>940</v>
      </c>
      <c r="BM132" s="43" t="str">
        <f t="shared" si="34"/>
        <v>(NY) - WESTCHESTER</v>
      </c>
      <c r="BN132" s="76">
        <v>679650</v>
      </c>
      <c r="BQ132" s="38" t="s">
        <v>881</v>
      </c>
      <c r="BR132" s="37" t="s">
        <v>880</v>
      </c>
      <c r="BS132" s="78" t="str">
        <f t="shared" ref="BS132:BS195" si="45">CONCATENATE("(",BR132,") - ",BQ132)</f>
        <v>(NC) - CAMDEN</v>
      </c>
      <c r="BT132" s="79">
        <v>625500</v>
      </c>
      <c r="BW132" s="38" t="s">
        <v>784</v>
      </c>
      <c r="BX132" s="37" t="s">
        <v>880</v>
      </c>
      <c r="BY132" s="78" t="str">
        <f t="shared" ref="BY132:BY195" si="46">CONCATENATE("(",BX132,") - ",BW132)</f>
        <v xml:space="preserve">(NC) - PERQUIMANS </v>
      </c>
      <c r="BZ132" s="80">
        <v>625500</v>
      </c>
      <c r="CC132" s="43" t="s">
        <v>946</v>
      </c>
      <c r="CD132" s="43" t="s">
        <v>942</v>
      </c>
      <c r="CE132" s="37" t="s">
        <v>908</v>
      </c>
      <c r="CF132" s="81" t="str">
        <f t="shared" si="39"/>
        <v>(TN) - ROBERTSON COUNTY</v>
      </c>
      <c r="CG132" s="59">
        <v>586500</v>
      </c>
      <c r="CH132" s="59"/>
      <c r="CI132" s="266" t="s">
        <v>969</v>
      </c>
      <c r="CJ132" s="267" t="s">
        <v>908</v>
      </c>
      <c r="CK132" s="268">
        <v>694600</v>
      </c>
      <c r="CM132" s="43" t="str">
        <f t="shared" si="40"/>
        <v>(TN) - WILSON COUNTY</v>
      </c>
      <c r="CN132" s="269">
        <f t="shared" si="38"/>
        <v>694600</v>
      </c>
      <c r="CO132" s="269"/>
      <c r="CQ132" s="263" t="s">
        <v>973</v>
      </c>
      <c r="CR132" s="264" t="s">
        <v>842</v>
      </c>
      <c r="CS132" s="265">
        <v>744050</v>
      </c>
      <c r="CV132" s="43" t="str">
        <f t="shared" ref="CV132:CV161" si="47">CONCATENATE("(",CR131,") - ",CQ131)</f>
        <v>(TN) - WILSON COUNTY</v>
      </c>
      <c r="CW132" s="70">
        <f t="shared" ref="CW132:CW161" si="48">CS131</f>
        <v>890100</v>
      </c>
    </row>
    <row r="133" spans="6:101" ht="15.75" thickBot="1" x14ac:dyDescent="0.3">
      <c r="F133" s="43" t="s">
        <v>974</v>
      </c>
      <c r="G133" s="58">
        <v>566250</v>
      </c>
      <c r="H133" s="58"/>
      <c r="I133" s="43" t="s">
        <v>927</v>
      </c>
      <c r="J133" s="68" t="s">
        <v>904</v>
      </c>
      <c r="K133" s="68" t="str">
        <f t="shared" si="41"/>
        <v xml:space="preserve">(VA ) - MANASSAS </v>
      </c>
      <c r="L133" s="69">
        <v>818750</v>
      </c>
      <c r="M133" s="68" t="s">
        <v>592</v>
      </c>
      <c r="N133" s="58"/>
      <c r="R133" s="43" t="s">
        <v>975</v>
      </c>
      <c r="S133" s="43" t="s">
        <v>612</v>
      </c>
      <c r="T133" s="68" t="str">
        <f>CONCATENATE("(",R133,") - ",S133)</f>
        <v xml:space="preserve">(WY) - TETON </v>
      </c>
      <c r="U133" s="70">
        <v>625500</v>
      </c>
      <c r="Y133" s="43" t="s">
        <v>855</v>
      </c>
      <c r="Z133" s="43" t="s">
        <v>928</v>
      </c>
      <c r="AA133" s="68" t="str">
        <f t="shared" si="42"/>
        <v xml:space="preserve">(VA) - STAFFORD </v>
      </c>
      <c r="AB133" s="59">
        <v>838750</v>
      </c>
      <c r="AF133" s="68" t="s">
        <v>953</v>
      </c>
      <c r="AG133" s="68" t="s">
        <v>963</v>
      </c>
      <c r="AH133" s="68" t="str">
        <f>CONCATENATE("(",AF133,") - ",AG133)</f>
        <v xml:space="preserve">(WA) - SAN JUAN </v>
      </c>
      <c r="AI133" s="71">
        <v>468750</v>
      </c>
      <c r="AK133" s="85" t="s">
        <v>908</v>
      </c>
      <c r="AL133" s="86" t="s">
        <v>976</v>
      </c>
      <c r="AM133" s="74" t="str">
        <f t="shared" si="43"/>
        <v>(TN) - CHEATHAM</v>
      </c>
      <c r="AN133" s="87">
        <v>417500</v>
      </c>
      <c r="AP133" s="72" t="s">
        <v>733</v>
      </c>
      <c r="AQ133" s="73" t="s">
        <v>873</v>
      </c>
      <c r="AR133" s="74" t="str">
        <f t="shared" si="35"/>
        <v>(NJ) - UNION</v>
      </c>
      <c r="AS133" s="75">
        <v>978750</v>
      </c>
      <c r="AU133" s="35" t="s">
        <v>793</v>
      </c>
      <c r="AV133" s="36" t="s">
        <v>491</v>
      </c>
      <c r="AW133" s="74" t="str">
        <f>CONCATENATE("(",AU133,") - ",AV133)</f>
        <v>(NY) - ORANGE</v>
      </c>
      <c r="AX133" s="76">
        <v>625500</v>
      </c>
      <c r="AZ133" s="37" t="s">
        <v>733</v>
      </c>
      <c r="BA133" s="38" t="s">
        <v>873</v>
      </c>
      <c r="BB133" s="74" t="str">
        <f>CONCATENATE("(",AZ133,") - ",BA133)</f>
        <v>(NJ) - UNION</v>
      </c>
      <c r="BC133" s="76">
        <v>625500</v>
      </c>
      <c r="BE133" s="39" t="s">
        <v>733</v>
      </c>
      <c r="BF133" s="40" t="s">
        <v>852</v>
      </c>
      <c r="BG133" s="41" t="str">
        <f t="shared" si="44"/>
        <v>(NJ) - OCEAN</v>
      </c>
      <c r="BH133" s="77">
        <v>636150</v>
      </c>
      <c r="BK133" s="37" t="s">
        <v>880</v>
      </c>
      <c r="BL133" s="38" t="s">
        <v>881</v>
      </c>
      <c r="BM133" s="43" t="str">
        <f t="shared" ref="BM133:BM196" si="49">CONCATENATE("(",BK133,") - ",BL133)</f>
        <v>(NC) - CAMDEN</v>
      </c>
      <c r="BN133" s="76">
        <v>625500</v>
      </c>
      <c r="BQ133" s="38" t="s">
        <v>900</v>
      </c>
      <c r="BR133" s="37" t="s">
        <v>880</v>
      </c>
      <c r="BS133" s="78" t="str">
        <f t="shared" si="45"/>
        <v>(NC) - PASQUOTANK</v>
      </c>
      <c r="BT133" s="79">
        <v>625500</v>
      </c>
      <c r="BW133" s="38" t="s">
        <v>839</v>
      </c>
      <c r="BX133" s="37" t="s">
        <v>838</v>
      </c>
      <c r="BY133" s="78" t="str">
        <f t="shared" si="46"/>
        <v xml:space="preserve">(PA) - PIKE </v>
      </c>
      <c r="BZ133" s="80">
        <v>765600</v>
      </c>
      <c r="CC133" s="43" t="s">
        <v>946</v>
      </c>
      <c r="CD133" s="43" t="s">
        <v>947</v>
      </c>
      <c r="CE133" s="37" t="s">
        <v>908</v>
      </c>
      <c r="CF133" s="81" t="str">
        <f t="shared" si="39"/>
        <v>(TN) - RUTHERFORD COUNTY</v>
      </c>
      <c r="CG133" s="59">
        <v>586500</v>
      </c>
      <c r="CH133" s="59"/>
      <c r="CI133" s="263" t="s">
        <v>656</v>
      </c>
      <c r="CJ133" s="264" t="s">
        <v>842</v>
      </c>
      <c r="CK133" s="265">
        <v>970800</v>
      </c>
      <c r="CM133" s="43" t="str">
        <f t="shared" si="40"/>
        <v>(UT) - SUMMIT COUNTY</v>
      </c>
      <c r="CN133" s="269">
        <f t="shared" si="38"/>
        <v>970800</v>
      </c>
      <c r="CO133" s="269"/>
      <c r="CQ133" s="266" t="s">
        <v>977</v>
      </c>
      <c r="CR133" s="267" t="s">
        <v>842</v>
      </c>
      <c r="CS133" s="268">
        <v>744050</v>
      </c>
      <c r="CV133" s="43" t="str">
        <f t="shared" si="47"/>
        <v>(UT) - BOX ELDER COUNTY</v>
      </c>
      <c r="CW133" s="70">
        <f t="shared" si="48"/>
        <v>744050</v>
      </c>
    </row>
    <row r="134" spans="6:101" ht="15.75" thickBot="1" x14ac:dyDescent="0.3">
      <c r="F134" s="43" t="s">
        <v>978</v>
      </c>
      <c r="G134" s="58">
        <v>566250</v>
      </c>
      <c r="H134" s="58"/>
      <c r="I134" s="43" t="s">
        <v>927</v>
      </c>
      <c r="J134" s="68" t="s">
        <v>911</v>
      </c>
      <c r="K134" s="68" t="str">
        <f t="shared" si="41"/>
        <v xml:space="preserve">(VA ) - MANASSAS PARK </v>
      </c>
      <c r="L134" s="69">
        <v>818750</v>
      </c>
      <c r="M134" s="68" t="s">
        <v>592</v>
      </c>
      <c r="N134" s="58"/>
      <c r="Y134" s="43" t="s">
        <v>855</v>
      </c>
      <c r="Z134" s="43" t="s">
        <v>934</v>
      </c>
      <c r="AA134" s="68" t="str">
        <f t="shared" si="42"/>
        <v xml:space="preserve">(VA) - WARREN </v>
      </c>
      <c r="AB134" s="59">
        <v>838750</v>
      </c>
      <c r="AF134" s="68" t="s">
        <v>953</v>
      </c>
      <c r="AG134" s="68" t="s">
        <v>967</v>
      </c>
      <c r="AH134" s="68" t="str">
        <f>CONCATENATE("(",AF134,") - ",AG134)</f>
        <v xml:space="preserve">(WA) - SNOHOMISH </v>
      </c>
      <c r="AI134" s="71">
        <v>500000</v>
      </c>
      <c r="AK134" s="85" t="s">
        <v>908</v>
      </c>
      <c r="AL134" s="86" t="s">
        <v>979</v>
      </c>
      <c r="AM134" s="74" t="str">
        <f t="shared" si="43"/>
        <v>(TN) - DAVIDSON</v>
      </c>
      <c r="AN134" s="87">
        <v>417500</v>
      </c>
      <c r="AP134" s="72" t="s">
        <v>793</v>
      </c>
      <c r="AQ134" s="73" t="s">
        <v>879</v>
      </c>
      <c r="AR134" s="74" t="str">
        <f t="shared" si="35"/>
        <v>(NY) - BRONX</v>
      </c>
      <c r="AS134" s="75">
        <v>978750</v>
      </c>
      <c r="AU134" s="35" t="s">
        <v>793</v>
      </c>
      <c r="AV134" s="36" t="s">
        <v>912</v>
      </c>
      <c r="AW134" s="74" t="str">
        <f>CONCATENATE("(",AU134,") - ",AV134)</f>
        <v>(NY) - PUTNAM</v>
      </c>
      <c r="AX134" s="76">
        <v>625500</v>
      </c>
      <c r="AZ134" s="37" t="s">
        <v>793</v>
      </c>
      <c r="BA134" s="38" t="s">
        <v>879</v>
      </c>
      <c r="BB134" s="74" t="str">
        <f>CONCATENATE("(",AZ134,") - ",BA134)</f>
        <v>(NY) - BRONX</v>
      </c>
      <c r="BC134" s="76">
        <v>625500</v>
      </c>
      <c r="BE134" s="39" t="s">
        <v>733</v>
      </c>
      <c r="BF134" s="40" t="s">
        <v>857</v>
      </c>
      <c r="BG134" s="41" t="str">
        <f t="shared" si="44"/>
        <v>(NJ) - PASSAIC</v>
      </c>
      <c r="BH134" s="77">
        <v>636150</v>
      </c>
      <c r="BK134" s="37" t="s">
        <v>880</v>
      </c>
      <c r="BL134" s="38" t="s">
        <v>887</v>
      </c>
      <c r="BM134" s="43" t="str">
        <f t="shared" si="49"/>
        <v>(NC) - CURRITUCK</v>
      </c>
      <c r="BN134" s="76">
        <v>458850</v>
      </c>
      <c r="BQ134" s="38" t="s">
        <v>905</v>
      </c>
      <c r="BR134" s="37" t="s">
        <v>880</v>
      </c>
      <c r="BS134" s="78" t="str">
        <f t="shared" si="45"/>
        <v>(NC) - PERQUIMANS</v>
      </c>
      <c r="BT134" s="79">
        <v>625500</v>
      </c>
      <c r="BW134" s="38" t="s">
        <v>980</v>
      </c>
      <c r="BX134" s="37" t="s">
        <v>908</v>
      </c>
      <c r="BY134" s="78" t="str">
        <f t="shared" si="46"/>
        <v xml:space="preserve">(TN) - CANNON </v>
      </c>
      <c r="BZ134" s="80">
        <v>563500</v>
      </c>
      <c r="CC134" s="43" t="s">
        <v>946</v>
      </c>
      <c r="CD134" s="43" t="s">
        <v>951</v>
      </c>
      <c r="CE134" s="37" t="s">
        <v>908</v>
      </c>
      <c r="CF134" s="81" t="str">
        <f t="shared" si="39"/>
        <v>(TN) - SMITH COUNTY</v>
      </c>
      <c r="CG134" s="59">
        <v>586500</v>
      </c>
      <c r="CH134" s="59"/>
      <c r="CI134" s="266" t="s">
        <v>981</v>
      </c>
      <c r="CJ134" s="267" t="s">
        <v>842</v>
      </c>
      <c r="CK134" s="268">
        <v>970800</v>
      </c>
      <c r="CM134" s="43" t="str">
        <f t="shared" si="40"/>
        <v>(UT) - WASATCH COUNTY</v>
      </c>
      <c r="CN134" s="269">
        <f t="shared" si="38"/>
        <v>970800</v>
      </c>
      <c r="CO134" s="269"/>
      <c r="CQ134" s="263" t="s">
        <v>982</v>
      </c>
      <c r="CR134" s="264" t="s">
        <v>842</v>
      </c>
      <c r="CS134" s="265">
        <v>744050</v>
      </c>
      <c r="CV134" s="43" t="str">
        <f t="shared" si="47"/>
        <v>(UT) - DAVIS COUNTY</v>
      </c>
      <c r="CW134" s="70">
        <f t="shared" si="48"/>
        <v>744050</v>
      </c>
    </row>
    <row r="135" spans="6:101" ht="15.75" thickBot="1" x14ac:dyDescent="0.3">
      <c r="F135" s="43" t="s">
        <v>983</v>
      </c>
      <c r="G135" s="58">
        <v>768750</v>
      </c>
      <c r="H135" s="58"/>
      <c r="I135" s="43" t="s">
        <v>927</v>
      </c>
      <c r="J135" s="68" t="s">
        <v>915</v>
      </c>
      <c r="K135" s="68" t="str">
        <f t="shared" si="41"/>
        <v xml:space="preserve">(VA ) - PRINCE WILLIAM </v>
      </c>
      <c r="L135" s="69">
        <v>818750</v>
      </c>
      <c r="M135" s="68" t="s">
        <v>592</v>
      </c>
      <c r="N135" s="58"/>
      <c r="Y135" s="43" t="s">
        <v>938</v>
      </c>
      <c r="Z135" s="43" t="s">
        <v>939</v>
      </c>
      <c r="AA135" s="68" t="str">
        <f t="shared" si="42"/>
        <v xml:space="preserve">(VI) - ST. CROIX </v>
      </c>
      <c r="AB135" s="59">
        <v>625500</v>
      </c>
      <c r="AF135" s="68" t="s">
        <v>971</v>
      </c>
      <c r="AG135" s="68" t="s">
        <v>631</v>
      </c>
      <c r="AH135" s="68" t="str">
        <f>CONCATENATE("(",AF135,") - ",AG135)</f>
        <v xml:space="preserve">(WV) - JEFFERSON </v>
      </c>
      <c r="AI135" s="71">
        <v>843750</v>
      </c>
      <c r="AK135" s="85" t="s">
        <v>908</v>
      </c>
      <c r="AL135" s="86" t="s">
        <v>984</v>
      </c>
      <c r="AM135" s="74" t="str">
        <f t="shared" si="43"/>
        <v>(TN) - DICKSON</v>
      </c>
      <c r="AN135" s="87">
        <v>417500</v>
      </c>
      <c r="AP135" s="72" t="s">
        <v>793</v>
      </c>
      <c r="AQ135" s="73" t="s">
        <v>886</v>
      </c>
      <c r="AR135" s="74" t="str">
        <f t="shared" si="35"/>
        <v>(NY) - DUTCHESS</v>
      </c>
      <c r="AS135" s="75">
        <v>978750</v>
      </c>
      <c r="AU135" s="35" t="s">
        <v>793</v>
      </c>
      <c r="AV135" s="36" t="s">
        <v>916</v>
      </c>
      <c r="AW135" s="74" t="str">
        <f>CONCATENATE("(",AU135,") - ",AV135)</f>
        <v>(NY) - QUEENS</v>
      </c>
      <c r="AX135" s="76">
        <v>625500</v>
      </c>
      <c r="AZ135" s="37" t="s">
        <v>793</v>
      </c>
      <c r="BA135" s="38" t="s">
        <v>886</v>
      </c>
      <c r="BB135" s="74" t="str">
        <f>CONCATENATE("(",AZ135,") - ",BA135)</f>
        <v>(NY) - DUTCHESS</v>
      </c>
      <c r="BC135" s="76">
        <v>625500</v>
      </c>
      <c r="BE135" s="39" t="s">
        <v>733</v>
      </c>
      <c r="BF135" s="40" t="s">
        <v>863</v>
      </c>
      <c r="BG135" s="41" t="str">
        <f t="shared" si="44"/>
        <v>(NJ) - SOMERSET</v>
      </c>
      <c r="BH135" s="77">
        <v>636150</v>
      </c>
      <c r="BK135" s="37" t="s">
        <v>880</v>
      </c>
      <c r="BL135" s="38" t="s">
        <v>892</v>
      </c>
      <c r="BM135" s="43" t="str">
        <f t="shared" si="49"/>
        <v>(NC) - GATES</v>
      </c>
      <c r="BN135" s="76">
        <v>458850</v>
      </c>
      <c r="BQ135" s="38" t="s">
        <v>945</v>
      </c>
      <c r="BR135" s="37" t="s">
        <v>838</v>
      </c>
      <c r="BS135" s="78" t="str">
        <f t="shared" si="45"/>
        <v>(PA) - PIKE</v>
      </c>
      <c r="BT135" s="79">
        <v>726525</v>
      </c>
      <c r="BW135" s="38" t="s">
        <v>985</v>
      </c>
      <c r="BX135" s="37" t="s">
        <v>908</v>
      </c>
      <c r="BY135" s="78" t="str">
        <f t="shared" si="46"/>
        <v xml:space="preserve">(TN) - CHEATHAM </v>
      </c>
      <c r="BZ135" s="80">
        <v>563500</v>
      </c>
      <c r="CC135" s="43" t="s">
        <v>946</v>
      </c>
      <c r="CD135" s="43" t="s">
        <v>956</v>
      </c>
      <c r="CE135" s="37" t="s">
        <v>908</v>
      </c>
      <c r="CF135" s="81" t="str">
        <f t="shared" si="39"/>
        <v>(TN) - SUMNER COUNTY</v>
      </c>
      <c r="CG135" s="59">
        <v>586500</v>
      </c>
      <c r="CH135" s="59"/>
      <c r="CI135" s="263" t="s">
        <v>986</v>
      </c>
      <c r="CJ135" s="264" t="s">
        <v>855</v>
      </c>
      <c r="CK135" s="265">
        <v>970800</v>
      </c>
      <c r="CM135" s="43" t="str">
        <f t="shared" si="40"/>
        <v>(VA) - ARLINGTON COUNTY</v>
      </c>
      <c r="CN135" s="269">
        <f t="shared" si="38"/>
        <v>970800</v>
      </c>
      <c r="CO135" s="269"/>
      <c r="CQ135" s="266" t="s">
        <v>656</v>
      </c>
      <c r="CR135" s="267" t="s">
        <v>842</v>
      </c>
      <c r="CS135" s="268">
        <v>1089300</v>
      </c>
      <c r="CV135" s="43" t="str">
        <f t="shared" si="47"/>
        <v>(UT) - MORGAN COUNTY</v>
      </c>
      <c r="CW135" s="70">
        <f t="shared" si="48"/>
        <v>744050</v>
      </c>
    </row>
    <row r="136" spans="6:101" ht="15.75" thickBot="1" x14ac:dyDescent="0.3">
      <c r="F136" s="43" t="s">
        <v>987</v>
      </c>
      <c r="G136" s="58">
        <v>768750</v>
      </c>
      <c r="H136" s="58"/>
      <c r="I136" s="43" t="s">
        <v>927</v>
      </c>
      <c r="J136" s="68" t="s">
        <v>920</v>
      </c>
      <c r="K136" s="68" t="str">
        <f t="shared" si="41"/>
        <v xml:space="preserve">(VA ) - SPOTSYLVANIA </v>
      </c>
      <c r="L136" s="69">
        <v>818750</v>
      </c>
      <c r="M136" s="68" t="s">
        <v>592</v>
      </c>
      <c r="N136" s="58"/>
      <c r="Y136" s="43" t="s">
        <v>938</v>
      </c>
      <c r="Z136" s="43" t="s">
        <v>959</v>
      </c>
      <c r="AA136" s="68" t="str">
        <f t="shared" si="42"/>
        <v xml:space="preserve">(VI) - ST. JOHN,VI </v>
      </c>
      <c r="AB136" s="59">
        <v>625500</v>
      </c>
      <c r="AF136" s="68" t="s">
        <v>975</v>
      </c>
      <c r="AG136" s="68" t="s">
        <v>612</v>
      </c>
      <c r="AH136" s="68" t="str">
        <f>CONCATENATE("(",AF136,") - ",AG136)</f>
        <v xml:space="preserve">(WY) - TETON </v>
      </c>
      <c r="AI136" s="71">
        <v>635000</v>
      </c>
      <c r="AK136" s="85" t="s">
        <v>908</v>
      </c>
      <c r="AL136" s="86" t="s">
        <v>988</v>
      </c>
      <c r="AM136" s="74" t="str">
        <f t="shared" si="43"/>
        <v>(TN) - HICKMAN</v>
      </c>
      <c r="AN136" s="87">
        <v>417500</v>
      </c>
      <c r="AP136" s="72" t="s">
        <v>793</v>
      </c>
      <c r="AQ136" s="73" t="s">
        <v>891</v>
      </c>
      <c r="AR136" s="74" t="str">
        <f t="shared" si="35"/>
        <v>(NY) - KINGS</v>
      </c>
      <c r="AS136" s="75">
        <v>978750</v>
      </c>
      <c r="AU136" s="35" t="s">
        <v>793</v>
      </c>
      <c r="AV136" s="36" t="s">
        <v>921</v>
      </c>
      <c r="AW136" s="74" t="str">
        <f>CONCATENATE("(",AU136,") - ",AV136)</f>
        <v>(NY) - RICHMOND</v>
      </c>
      <c r="AX136" s="76">
        <v>625500</v>
      </c>
      <c r="AZ136" s="37" t="s">
        <v>793</v>
      </c>
      <c r="BA136" s="38" t="s">
        <v>891</v>
      </c>
      <c r="BB136" s="74" t="str">
        <f>CONCATENATE("(",AZ136,") - ",BA136)</f>
        <v>(NY) - KINGS</v>
      </c>
      <c r="BC136" s="76">
        <v>625500</v>
      </c>
      <c r="BE136" s="39" t="s">
        <v>733</v>
      </c>
      <c r="BF136" s="40" t="s">
        <v>868</v>
      </c>
      <c r="BG136" s="41" t="str">
        <f t="shared" si="44"/>
        <v>(NJ) - SUSSEX</v>
      </c>
      <c r="BH136" s="77">
        <v>636150</v>
      </c>
      <c r="BK136" s="37" t="s">
        <v>880</v>
      </c>
      <c r="BL136" s="38" t="s">
        <v>896</v>
      </c>
      <c r="BM136" s="43" t="str">
        <f t="shared" si="49"/>
        <v>(NC) - HYDE</v>
      </c>
      <c r="BN136" s="76">
        <v>483000</v>
      </c>
      <c r="BQ136" s="38" t="s">
        <v>972</v>
      </c>
      <c r="BR136" s="37" t="s">
        <v>908</v>
      </c>
      <c r="BS136" s="78" t="str">
        <f t="shared" si="45"/>
        <v>(TN) - CANNON</v>
      </c>
      <c r="BT136" s="79">
        <v>534750</v>
      </c>
      <c r="BW136" s="38" t="s">
        <v>989</v>
      </c>
      <c r="BX136" s="37" t="s">
        <v>908</v>
      </c>
      <c r="BY136" s="78" t="str">
        <f t="shared" si="46"/>
        <v xml:space="preserve">(TN) - DAVIDSON </v>
      </c>
      <c r="BZ136" s="80">
        <v>563500</v>
      </c>
      <c r="CC136" s="43" t="s">
        <v>946</v>
      </c>
      <c r="CD136" s="43" t="s">
        <v>961</v>
      </c>
      <c r="CE136" s="37" t="s">
        <v>908</v>
      </c>
      <c r="CF136" s="81" t="str">
        <f t="shared" si="39"/>
        <v>(TN) - TROUSDALE COUNTY</v>
      </c>
      <c r="CG136" s="59">
        <v>586500</v>
      </c>
      <c r="CH136" s="59"/>
      <c r="CI136" s="266" t="s">
        <v>990</v>
      </c>
      <c r="CJ136" s="267" t="s">
        <v>855</v>
      </c>
      <c r="CK136" s="268">
        <v>970800</v>
      </c>
      <c r="CM136" s="43" t="str">
        <f t="shared" si="40"/>
        <v>(VA) - CLARKE COUNTY</v>
      </c>
      <c r="CN136" s="269">
        <f t="shared" si="38"/>
        <v>970800</v>
      </c>
      <c r="CO136" s="269"/>
      <c r="CQ136" s="263" t="s">
        <v>981</v>
      </c>
      <c r="CR136" s="264" t="s">
        <v>842</v>
      </c>
      <c r="CS136" s="265">
        <v>1089300</v>
      </c>
      <c r="CV136" s="43" t="str">
        <f t="shared" si="47"/>
        <v>(UT) - SUMMIT COUNTY</v>
      </c>
      <c r="CW136" s="70">
        <f t="shared" si="48"/>
        <v>1089300</v>
      </c>
    </row>
    <row r="137" spans="6:101" ht="15.75" thickBot="1" x14ac:dyDescent="0.3">
      <c r="F137" s="43" t="s">
        <v>991</v>
      </c>
      <c r="G137" s="58">
        <v>768750</v>
      </c>
      <c r="H137" s="58"/>
      <c r="I137" s="43" t="s">
        <v>927</v>
      </c>
      <c r="J137" s="68" t="s">
        <v>928</v>
      </c>
      <c r="K137" s="68" t="str">
        <f t="shared" si="41"/>
        <v xml:space="preserve">(VA ) - STAFFORD </v>
      </c>
      <c r="L137" s="69">
        <v>818750</v>
      </c>
      <c r="M137" s="68" t="s">
        <v>592</v>
      </c>
      <c r="N137" s="58"/>
      <c r="Y137" s="43" t="s">
        <v>938</v>
      </c>
      <c r="Z137" s="43" t="s">
        <v>949</v>
      </c>
      <c r="AA137" s="68" t="str">
        <f t="shared" si="42"/>
        <v xml:space="preserve">(VI) - ST. THOMAS </v>
      </c>
      <c r="AB137" s="59">
        <v>625500</v>
      </c>
      <c r="AK137" s="85" t="s">
        <v>908</v>
      </c>
      <c r="AL137" s="86" t="s">
        <v>992</v>
      </c>
      <c r="AM137" s="74" t="str">
        <f t="shared" si="43"/>
        <v>(TN) - MACON</v>
      </c>
      <c r="AN137" s="87">
        <v>417500</v>
      </c>
      <c r="AP137" s="72" t="s">
        <v>793</v>
      </c>
      <c r="AQ137" s="73" t="s">
        <v>895</v>
      </c>
      <c r="AR137" s="74" t="str">
        <f t="shared" si="35"/>
        <v>(NY) - NASSAU</v>
      </c>
      <c r="AS137" s="75">
        <v>978750</v>
      </c>
      <c r="AU137" s="35" t="s">
        <v>793</v>
      </c>
      <c r="AV137" s="36" t="s">
        <v>929</v>
      </c>
      <c r="AW137" s="74" t="str">
        <f t="shared" ref="AW137:AW200" si="50">CONCATENATE("(",AU137,") - ",AV137)</f>
        <v>(NY) - ROCKLAND</v>
      </c>
      <c r="AX137" s="76">
        <v>625500</v>
      </c>
      <c r="AZ137" s="37" t="s">
        <v>793</v>
      </c>
      <c r="BA137" s="38" t="s">
        <v>895</v>
      </c>
      <c r="BB137" s="74" t="str">
        <f t="shared" ref="BB137:BB200" si="51">CONCATENATE("(",AZ137,") - ",BA137)</f>
        <v>(NY) - NASSAU</v>
      </c>
      <c r="BC137" s="76">
        <v>625500</v>
      </c>
      <c r="BE137" s="39" t="s">
        <v>733</v>
      </c>
      <c r="BF137" s="40" t="s">
        <v>873</v>
      </c>
      <c r="BG137" s="41" t="str">
        <f t="shared" si="44"/>
        <v>(NJ) - UNION</v>
      </c>
      <c r="BH137" s="77">
        <v>636150</v>
      </c>
      <c r="BK137" s="37" t="s">
        <v>880</v>
      </c>
      <c r="BL137" s="38" t="s">
        <v>900</v>
      </c>
      <c r="BM137" s="43" t="str">
        <f t="shared" si="49"/>
        <v>(NC) - PASQUOTANK</v>
      </c>
      <c r="BN137" s="76">
        <v>625500</v>
      </c>
      <c r="BQ137" s="38" t="s">
        <v>976</v>
      </c>
      <c r="BR137" s="37" t="s">
        <v>908</v>
      </c>
      <c r="BS137" s="78" t="str">
        <f t="shared" si="45"/>
        <v>(TN) - CHEATHAM</v>
      </c>
      <c r="BT137" s="79">
        <v>534750</v>
      </c>
      <c r="BW137" s="38" t="s">
        <v>993</v>
      </c>
      <c r="BX137" s="37" t="s">
        <v>908</v>
      </c>
      <c r="BY137" s="78" t="str">
        <f t="shared" si="46"/>
        <v xml:space="preserve">(TN) - DICKSON </v>
      </c>
      <c r="BZ137" s="80">
        <v>563500</v>
      </c>
      <c r="CC137" s="43" t="s">
        <v>946</v>
      </c>
      <c r="CD137" s="43" t="s">
        <v>965</v>
      </c>
      <c r="CE137" s="37" t="s">
        <v>908</v>
      </c>
      <c r="CF137" s="81" t="str">
        <f t="shared" si="39"/>
        <v>(TN) - WILLIAMSON COUNTY</v>
      </c>
      <c r="CG137" s="59">
        <v>586500</v>
      </c>
      <c r="CH137" s="59"/>
      <c r="CI137" s="263" t="s">
        <v>994</v>
      </c>
      <c r="CJ137" s="264" t="s">
        <v>855</v>
      </c>
      <c r="CK137" s="265">
        <v>970800</v>
      </c>
      <c r="CM137" s="43" t="str">
        <f t="shared" si="40"/>
        <v>(VA) - CULPEPER COUNTY</v>
      </c>
      <c r="CN137" s="269">
        <f t="shared" si="38"/>
        <v>970800</v>
      </c>
      <c r="CO137" s="269"/>
      <c r="CQ137" s="266" t="s">
        <v>995</v>
      </c>
      <c r="CR137" s="267" t="s">
        <v>842</v>
      </c>
      <c r="CS137" s="268">
        <v>744050</v>
      </c>
      <c r="CV137" s="43" t="str">
        <f t="shared" si="47"/>
        <v>(UT) - WASATCH COUNTY</v>
      </c>
      <c r="CW137" s="70">
        <f t="shared" si="48"/>
        <v>1089300</v>
      </c>
    </row>
    <row r="138" spans="6:101" ht="15.75" thickBot="1" x14ac:dyDescent="0.3">
      <c r="F138" s="43" t="s">
        <v>996</v>
      </c>
      <c r="G138" s="58">
        <v>768750</v>
      </c>
      <c r="H138" s="58"/>
      <c r="I138" s="43" t="s">
        <v>927</v>
      </c>
      <c r="J138" s="68" t="s">
        <v>934</v>
      </c>
      <c r="K138" s="68" t="str">
        <f t="shared" si="41"/>
        <v xml:space="preserve">(VA ) - WARREN </v>
      </c>
      <c r="L138" s="69">
        <v>818750</v>
      </c>
      <c r="M138" s="68" t="s">
        <v>592</v>
      </c>
      <c r="N138" s="58"/>
      <c r="Y138" s="43" t="s">
        <v>953</v>
      </c>
      <c r="Z138" s="43" t="s">
        <v>954</v>
      </c>
      <c r="AA138" s="68" t="str">
        <f t="shared" si="42"/>
        <v xml:space="preserve">(WA) - KING </v>
      </c>
      <c r="AB138" s="59">
        <v>498750</v>
      </c>
      <c r="AK138" s="85" t="s">
        <v>908</v>
      </c>
      <c r="AL138" s="86" t="s">
        <v>997</v>
      </c>
      <c r="AM138" s="74" t="str">
        <f t="shared" si="43"/>
        <v>(TN) - MAURY</v>
      </c>
      <c r="AN138" s="87">
        <v>417500</v>
      </c>
      <c r="AP138" s="72" t="s">
        <v>793</v>
      </c>
      <c r="AQ138" s="73" t="s">
        <v>858</v>
      </c>
      <c r="AR138" s="74" t="str">
        <f t="shared" si="35"/>
        <v>(NY) - NEW YORK</v>
      </c>
      <c r="AS138" s="75">
        <v>978750</v>
      </c>
      <c r="AU138" s="35" t="s">
        <v>793</v>
      </c>
      <c r="AV138" s="36" t="s">
        <v>745</v>
      </c>
      <c r="AW138" s="74" t="str">
        <f t="shared" si="50"/>
        <v>(NY) - SUFFOLK</v>
      </c>
      <c r="AX138" s="76">
        <v>625500</v>
      </c>
      <c r="AZ138" s="37" t="s">
        <v>793</v>
      </c>
      <c r="BA138" s="38" t="s">
        <v>858</v>
      </c>
      <c r="BB138" s="74" t="str">
        <f t="shared" si="51"/>
        <v>(NY) - NEW YORK</v>
      </c>
      <c r="BC138" s="76">
        <v>625500</v>
      </c>
      <c r="BE138" s="39" t="s">
        <v>793</v>
      </c>
      <c r="BF138" s="40" t="s">
        <v>879</v>
      </c>
      <c r="BG138" s="41" t="str">
        <f t="shared" si="44"/>
        <v>(NY) - BRONX</v>
      </c>
      <c r="BH138" s="77">
        <v>636150</v>
      </c>
      <c r="BK138" s="37" t="s">
        <v>880</v>
      </c>
      <c r="BL138" s="38" t="s">
        <v>905</v>
      </c>
      <c r="BM138" s="43" t="str">
        <f t="shared" si="49"/>
        <v>(NC) - PERQUIMANS</v>
      </c>
      <c r="BN138" s="76">
        <v>625500</v>
      </c>
      <c r="BQ138" s="38" t="s">
        <v>979</v>
      </c>
      <c r="BR138" s="37" t="s">
        <v>908</v>
      </c>
      <c r="BS138" s="78" t="str">
        <f t="shared" si="45"/>
        <v>(TN) - DAVIDSON</v>
      </c>
      <c r="BT138" s="79">
        <v>534750</v>
      </c>
      <c r="BW138" s="38" t="s">
        <v>998</v>
      </c>
      <c r="BX138" s="37" t="s">
        <v>908</v>
      </c>
      <c r="BY138" s="78" t="str">
        <f t="shared" si="46"/>
        <v xml:space="preserve">(TN) - HICKMAN </v>
      </c>
      <c r="BZ138" s="80">
        <v>534750</v>
      </c>
      <c r="CC138" s="43" t="s">
        <v>946</v>
      </c>
      <c r="CD138" s="43" t="s">
        <v>969</v>
      </c>
      <c r="CE138" s="37" t="s">
        <v>908</v>
      </c>
      <c r="CF138" s="81" t="str">
        <f t="shared" si="39"/>
        <v>(TN) - WILSON COUNTY</v>
      </c>
      <c r="CG138" s="59">
        <v>586500</v>
      </c>
      <c r="CH138" s="59"/>
      <c r="CI138" s="266" t="s">
        <v>999</v>
      </c>
      <c r="CJ138" s="267" t="s">
        <v>855</v>
      </c>
      <c r="CK138" s="268">
        <v>970800</v>
      </c>
      <c r="CM138" s="43" t="str">
        <f t="shared" si="40"/>
        <v>(VA) - FAIRFAX COUNTY</v>
      </c>
      <c r="CN138" s="269">
        <f t="shared" si="38"/>
        <v>970800</v>
      </c>
      <c r="CO138" s="269"/>
      <c r="CQ138" s="263" t="s">
        <v>986</v>
      </c>
      <c r="CR138" s="264" t="s">
        <v>855</v>
      </c>
      <c r="CS138" s="265">
        <v>1089300</v>
      </c>
      <c r="CV138" s="43" t="str">
        <f t="shared" si="47"/>
        <v>(UT) - WEBER COUNTY</v>
      </c>
      <c r="CW138" s="70">
        <f t="shared" si="48"/>
        <v>744050</v>
      </c>
    </row>
    <row r="139" spans="6:101" ht="15.75" thickBot="1" x14ac:dyDescent="0.3">
      <c r="F139" s="43" t="s">
        <v>1000</v>
      </c>
      <c r="G139" s="58">
        <v>768750</v>
      </c>
      <c r="H139" s="58"/>
      <c r="I139" s="43" t="s">
        <v>1001</v>
      </c>
      <c r="J139" s="68" t="s">
        <v>939</v>
      </c>
      <c r="K139" s="68" t="str">
        <f t="shared" si="41"/>
        <v xml:space="preserve">(VI ) - ST. CROIX </v>
      </c>
      <c r="L139" s="69">
        <v>625500</v>
      </c>
      <c r="M139" s="68" t="s">
        <v>599</v>
      </c>
      <c r="N139" s="58"/>
      <c r="Y139" s="43" t="s">
        <v>953</v>
      </c>
      <c r="Z139" s="43" t="s">
        <v>958</v>
      </c>
      <c r="AA139" s="68" t="str">
        <f t="shared" si="42"/>
        <v xml:space="preserve">(WA) - PIERCE </v>
      </c>
      <c r="AB139" s="59">
        <v>498750</v>
      </c>
      <c r="AK139" s="85" t="s">
        <v>908</v>
      </c>
      <c r="AL139" s="86" t="s">
        <v>1002</v>
      </c>
      <c r="AM139" s="74" t="str">
        <f t="shared" si="43"/>
        <v>(TN) - ROBERTSON</v>
      </c>
      <c r="AN139" s="87">
        <v>417500</v>
      </c>
      <c r="AP139" s="72" t="s">
        <v>793</v>
      </c>
      <c r="AQ139" s="73" t="s">
        <v>491</v>
      </c>
      <c r="AR139" s="74" t="str">
        <f t="shared" si="35"/>
        <v>(NY) - ORANGE</v>
      </c>
      <c r="AS139" s="75">
        <v>978750</v>
      </c>
      <c r="AU139" s="35" t="s">
        <v>793</v>
      </c>
      <c r="AV139" s="36" t="s">
        <v>940</v>
      </c>
      <c r="AW139" s="74" t="str">
        <f t="shared" si="50"/>
        <v>(NY) - WESTCHESTER</v>
      </c>
      <c r="AX139" s="76">
        <v>625500</v>
      </c>
      <c r="AZ139" s="37" t="s">
        <v>793</v>
      </c>
      <c r="BA139" s="38" t="s">
        <v>491</v>
      </c>
      <c r="BB139" s="74" t="str">
        <f t="shared" si="51"/>
        <v>(NY) - ORANGE</v>
      </c>
      <c r="BC139" s="76">
        <v>625500</v>
      </c>
      <c r="BE139" s="39" t="s">
        <v>793</v>
      </c>
      <c r="BF139" s="40" t="s">
        <v>886</v>
      </c>
      <c r="BG139" s="41" t="str">
        <f t="shared" si="44"/>
        <v>(NY) - DUTCHESS</v>
      </c>
      <c r="BH139" s="77">
        <v>636150</v>
      </c>
      <c r="BK139" s="37" t="s">
        <v>1003</v>
      </c>
      <c r="BL139" s="38" t="s">
        <v>1004</v>
      </c>
      <c r="BM139" s="43" t="str">
        <f t="shared" si="49"/>
        <v>(OR) - HOOD RIVER</v>
      </c>
      <c r="BN139" s="76">
        <v>454250</v>
      </c>
      <c r="BQ139" s="38" t="s">
        <v>984</v>
      </c>
      <c r="BR139" s="37" t="s">
        <v>908</v>
      </c>
      <c r="BS139" s="78" t="str">
        <f t="shared" si="45"/>
        <v>(TN) - DICKSON</v>
      </c>
      <c r="BT139" s="79">
        <v>534750</v>
      </c>
      <c r="BW139" s="38" t="s">
        <v>1005</v>
      </c>
      <c r="BX139" s="37" t="s">
        <v>908</v>
      </c>
      <c r="BY139" s="78" t="str">
        <f t="shared" si="46"/>
        <v xml:space="preserve">(TN) - MACON </v>
      </c>
      <c r="BZ139" s="80">
        <v>563500</v>
      </c>
      <c r="CC139" s="43" t="s">
        <v>1006</v>
      </c>
      <c r="CD139" s="43" t="s">
        <v>973</v>
      </c>
      <c r="CE139" s="37" t="s">
        <v>842</v>
      </c>
      <c r="CF139" s="81" t="str">
        <f t="shared" si="39"/>
        <v>(UT) - BOX ELDER COUNTY</v>
      </c>
      <c r="CG139" s="59">
        <v>646300</v>
      </c>
      <c r="CH139" s="59"/>
      <c r="CI139" s="263" t="s">
        <v>1007</v>
      </c>
      <c r="CJ139" s="264" t="s">
        <v>855</v>
      </c>
      <c r="CK139" s="265">
        <v>970800</v>
      </c>
      <c r="CM139" s="43" t="str">
        <f t="shared" si="40"/>
        <v>(VA) - FAUQUIER COUNTY</v>
      </c>
      <c r="CN139" s="269">
        <f t="shared" si="38"/>
        <v>970800</v>
      </c>
      <c r="CO139" s="269"/>
      <c r="CQ139" s="266" t="s">
        <v>990</v>
      </c>
      <c r="CR139" s="267" t="s">
        <v>855</v>
      </c>
      <c r="CS139" s="268">
        <v>1089300</v>
      </c>
      <c r="CV139" s="43" t="str">
        <f t="shared" si="47"/>
        <v>(VA) - ARLINGTON COUNTY</v>
      </c>
      <c r="CW139" s="70">
        <f t="shared" si="48"/>
        <v>1089300</v>
      </c>
    </row>
    <row r="140" spans="6:101" ht="15.75" thickBot="1" x14ac:dyDescent="0.3">
      <c r="F140" s="43" t="s">
        <v>1008</v>
      </c>
      <c r="G140" s="58">
        <v>460000</v>
      </c>
      <c r="H140" s="58"/>
      <c r="I140" s="43" t="s">
        <v>1001</v>
      </c>
      <c r="J140" s="68" t="s">
        <v>944</v>
      </c>
      <c r="K140" s="68" t="str">
        <f t="shared" si="41"/>
        <v xml:space="preserve">(VI ) - ST. JOHN </v>
      </c>
      <c r="L140" s="69">
        <v>625500</v>
      </c>
      <c r="M140" s="68" t="s">
        <v>599</v>
      </c>
      <c r="N140" s="58"/>
      <c r="Y140" s="43" t="s">
        <v>953</v>
      </c>
      <c r="Z140" s="43" t="s">
        <v>963</v>
      </c>
      <c r="AA140" s="68" t="str">
        <f t="shared" si="42"/>
        <v xml:space="preserve">(WA) - SAN JUAN </v>
      </c>
      <c r="AB140" s="59">
        <v>470000</v>
      </c>
      <c r="AK140" s="85" t="s">
        <v>908</v>
      </c>
      <c r="AL140" s="86" t="s">
        <v>1009</v>
      </c>
      <c r="AM140" s="74" t="str">
        <f t="shared" si="43"/>
        <v>(TN) - RUTHERFORD</v>
      </c>
      <c r="AN140" s="87">
        <v>417500</v>
      </c>
      <c r="AP140" s="72" t="s">
        <v>793</v>
      </c>
      <c r="AQ140" s="73" t="s">
        <v>912</v>
      </c>
      <c r="AR140" s="74" t="str">
        <f t="shared" si="35"/>
        <v>(NY) - PUTNAM</v>
      </c>
      <c r="AS140" s="75">
        <v>978750</v>
      </c>
      <c r="AU140" s="35" t="s">
        <v>880</v>
      </c>
      <c r="AV140" s="36" t="s">
        <v>881</v>
      </c>
      <c r="AW140" s="74" t="str">
        <f t="shared" si="50"/>
        <v>(NC) - CAMDEN</v>
      </c>
      <c r="AX140" s="76">
        <v>625500</v>
      </c>
      <c r="AZ140" s="37" t="s">
        <v>793</v>
      </c>
      <c r="BA140" s="38" t="s">
        <v>912</v>
      </c>
      <c r="BB140" s="74" t="str">
        <f t="shared" si="51"/>
        <v>(NY) - PUTNAM</v>
      </c>
      <c r="BC140" s="76">
        <v>625500</v>
      </c>
      <c r="BE140" s="39" t="s">
        <v>793</v>
      </c>
      <c r="BF140" s="40" t="s">
        <v>891</v>
      </c>
      <c r="BG140" s="41" t="str">
        <f t="shared" si="44"/>
        <v>(NY) - KINGS</v>
      </c>
      <c r="BH140" s="77">
        <v>636150</v>
      </c>
      <c r="BK140" s="37" t="s">
        <v>838</v>
      </c>
      <c r="BL140" s="38" t="s">
        <v>945</v>
      </c>
      <c r="BM140" s="43" t="str">
        <f t="shared" si="49"/>
        <v>(PA) - PIKE</v>
      </c>
      <c r="BN140" s="76">
        <v>679650</v>
      </c>
      <c r="BQ140" s="38" t="s">
        <v>988</v>
      </c>
      <c r="BR140" s="37" t="s">
        <v>908</v>
      </c>
      <c r="BS140" s="78" t="str">
        <f t="shared" si="45"/>
        <v>(TN) - HICKMAN</v>
      </c>
      <c r="BT140" s="79">
        <v>534750</v>
      </c>
      <c r="BW140" s="38" t="s">
        <v>1010</v>
      </c>
      <c r="BX140" s="37" t="s">
        <v>908</v>
      </c>
      <c r="BY140" s="78" t="str">
        <f t="shared" si="46"/>
        <v xml:space="preserve">(TN) - MAURY </v>
      </c>
      <c r="BZ140" s="80">
        <v>563500</v>
      </c>
      <c r="CC140" s="43" t="s">
        <v>1006</v>
      </c>
      <c r="CD140" s="43" t="s">
        <v>977</v>
      </c>
      <c r="CE140" s="37" t="s">
        <v>842</v>
      </c>
      <c r="CF140" s="81" t="str">
        <f t="shared" si="39"/>
        <v>(UT) - DAVIS COUNTY</v>
      </c>
      <c r="CG140" s="59">
        <v>646300</v>
      </c>
      <c r="CH140" s="59"/>
      <c r="CI140" s="266" t="s">
        <v>1011</v>
      </c>
      <c r="CJ140" s="267" t="s">
        <v>855</v>
      </c>
      <c r="CK140" s="268">
        <v>970800</v>
      </c>
      <c r="CM140" s="43" t="str">
        <f t="shared" si="40"/>
        <v>(VA) - LOUDOUN COUNTY</v>
      </c>
      <c r="CN140" s="269">
        <f t="shared" si="38"/>
        <v>970800</v>
      </c>
      <c r="CO140" s="269"/>
      <c r="CQ140" s="263" t="s">
        <v>994</v>
      </c>
      <c r="CR140" s="264" t="s">
        <v>855</v>
      </c>
      <c r="CS140" s="265">
        <v>1089300</v>
      </c>
      <c r="CV140" s="43" t="str">
        <f t="shared" si="47"/>
        <v>(VA) - CLARKE COUNTY</v>
      </c>
      <c r="CW140" s="70">
        <f t="shared" si="48"/>
        <v>1089300</v>
      </c>
    </row>
    <row r="141" spans="6:101" ht="15.75" thickBot="1" x14ac:dyDescent="0.3">
      <c r="F141" s="43" t="s">
        <v>1012</v>
      </c>
      <c r="G141" s="58">
        <v>566250</v>
      </c>
      <c r="H141" s="58"/>
      <c r="I141" s="43" t="s">
        <v>1001</v>
      </c>
      <c r="J141" s="68" t="s">
        <v>949</v>
      </c>
      <c r="K141" s="68" t="str">
        <f t="shared" si="41"/>
        <v xml:space="preserve">(VI ) - ST. THOMAS </v>
      </c>
      <c r="L141" s="69">
        <v>625500</v>
      </c>
      <c r="M141" s="68" t="s">
        <v>599</v>
      </c>
      <c r="N141" s="58"/>
      <c r="Y141" s="43" t="s">
        <v>953</v>
      </c>
      <c r="Z141" s="43" t="s">
        <v>967</v>
      </c>
      <c r="AA141" s="68" t="str">
        <f t="shared" si="42"/>
        <v xml:space="preserve">(WA) - SNOHOMISH </v>
      </c>
      <c r="AB141" s="59">
        <v>498750</v>
      </c>
      <c r="AK141" s="85" t="s">
        <v>908</v>
      </c>
      <c r="AL141" s="86" t="s">
        <v>1013</v>
      </c>
      <c r="AM141" s="74" t="str">
        <f t="shared" si="43"/>
        <v>(TN) - SMITH</v>
      </c>
      <c r="AN141" s="87">
        <v>417500</v>
      </c>
      <c r="AP141" s="72" t="s">
        <v>793</v>
      </c>
      <c r="AQ141" s="73" t="s">
        <v>916</v>
      </c>
      <c r="AR141" s="74" t="str">
        <f t="shared" si="35"/>
        <v>(NY) - QUEENS</v>
      </c>
      <c r="AS141" s="75">
        <v>978750</v>
      </c>
      <c r="AU141" s="35" t="s">
        <v>880</v>
      </c>
      <c r="AV141" s="36" t="s">
        <v>887</v>
      </c>
      <c r="AW141" s="74" t="str">
        <f t="shared" si="50"/>
        <v>(NC) - CURRITUCK</v>
      </c>
      <c r="AX141" s="76">
        <v>458850</v>
      </c>
      <c r="AZ141" s="37" t="s">
        <v>793</v>
      </c>
      <c r="BA141" s="38" t="s">
        <v>916</v>
      </c>
      <c r="BB141" s="74" t="str">
        <f t="shared" si="51"/>
        <v>(NY) - QUEENS</v>
      </c>
      <c r="BC141" s="76">
        <v>625500</v>
      </c>
      <c r="BE141" s="39" t="s">
        <v>793</v>
      </c>
      <c r="BF141" s="40" t="s">
        <v>895</v>
      </c>
      <c r="BG141" s="41" t="str">
        <f t="shared" si="44"/>
        <v>(NY) - NASSAU</v>
      </c>
      <c r="BH141" s="77">
        <v>636150</v>
      </c>
      <c r="BK141" s="37" t="s">
        <v>908</v>
      </c>
      <c r="BL141" s="38" t="s">
        <v>972</v>
      </c>
      <c r="BM141" s="43" t="str">
        <f t="shared" si="49"/>
        <v>(TN) - CANNON</v>
      </c>
      <c r="BN141" s="76">
        <v>494500</v>
      </c>
      <c r="BQ141" s="38" t="s">
        <v>992</v>
      </c>
      <c r="BR141" s="37" t="s">
        <v>908</v>
      </c>
      <c r="BS141" s="78" t="str">
        <f t="shared" si="45"/>
        <v>(TN) - MACON</v>
      </c>
      <c r="BT141" s="79">
        <v>534750</v>
      </c>
      <c r="BW141" s="38" t="s">
        <v>1014</v>
      </c>
      <c r="BX141" s="37" t="s">
        <v>908</v>
      </c>
      <c r="BY141" s="78" t="str">
        <f t="shared" si="46"/>
        <v xml:space="preserve">(TN) - ROBERTSON </v>
      </c>
      <c r="BZ141" s="80">
        <v>563500</v>
      </c>
      <c r="CC141" s="43" t="s">
        <v>1006</v>
      </c>
      <c r="CD141" s="43" t="s">
        <v>982</v>
      </c>
      <c r="CE141" s="37" t="s">
        <v>842</v>
      </c>
      <c r="CF141" s="81" t="str">
        <f t="shared" si="39"/>
        <v>(UT) - MORGAN COUNTY</v>
      </c>
      <c r="CG141" s="59">
        <v>646300</v>
      </c>
      <c r="CH141" s="59"/>
      <c r="CI141" s="263" t="s">
        <v>1015</v>
      </c>
      <c r="CJ141" s="264" t="s">
        <v>855</v>
      </c>
      <c r="CK141" s="265">
        <v>970800</v>
      </c>
      <c r="CM141" s="43" t="str">
        <f t="shared" si="40"/>
        <v>(VA) - MADISON COUNTY</v>
      </c>
      <c r="CN141" s="269">
        <f t="shared" si="38"/>
        <v>970800</v>
      </c>
      <c r="CO141" s="269"/>
      <c r="CQ141" s="266" t="s">
        <v>999</v>
      </c>
      <c r="CR141" s="267" t="s">
        <v>855</v>
      </c>
      <c r="CS141" s="268">
        <v>1089300</v>
      </c>
      <c r="CV141" s="43" t="str">
        <f t="shared" si="47"/>
        <v>(VA) - CULPEPER COUNTY</v>
      </c>
      <c r="CW141" s="70">
        <f t="shared" si="48"/>
        <v>1089300</v>
      </c>
    </row>
    <row r="142" spans="6:101" ht="15.75" thickBot="1" x14ac:dyDescent="0.3">
      <c r="F142" s="43" t="s">
        <v>1016</v>
      </c>
      <c r="G142" s="58">
        <v>460000</v>
      </c>
      <c r="H142" s="58"/>
      <c r="I142" s="43" t="s">
        <v>1017</v>
      </c>
      <c r="J142" s="68" t="s">
        <v>1018</v>
      </c>
      <c r="K142" s="68" t="str">
        <f t="shared" si="41"/>
        <v xml:space="preserve">(WA ) - CLALLAM </v>
      </c>
      <c r="L142" s="69">
        <v>417500</v>
      </c>
      <c r="M142" s="68" t="s">
        <v>300</v>
      </c>
      <c r="N142" s="58"/>
      <c r="Y142" s="43" t="s">
        <v>971</v>
      </c>
      <c r="Z142" s="43" t="s">
        <v>631</v>
      </c>
      <c r="AA142" s="68" t="str">
        <f t="shared" si="42"/>
        <v xml:space="preserve">(WV) - JEFFERSON </v>
      </c>
      <c r="AB142" s="59">
        <v>838750</v>
      </c>
      <c r="AK142" s="85" t="s">
        <v>908</v>
      </c>
      <c r="AL142" s="86" t="s">
        <v>1019</v>
      </c>
      <c r="AM142" s="74" t="str">
        <f t="shared" si="43"/>
        <v>(TN) - SUMNER</v>
      </c>
      <c r="AN142" s="87">
        <v>417500</v>
      </c>
      <c r="AP142" s="72" t="s">
        <v>793</v>
      </c>
      <c r="AQ142" s="73" t="s">
        <v>921</v>
      </c>
      <c r="AR142" s="74" t="str">
        <f t="shared" si="35"/>
        <v>(NY) - RICHMOND</v>
      </c>
      <c r="AS142" s="75">
        <v>978750</v>
      </c>
      <c r="AU142" s="35" t="s">
        <v>880</v>
      </c>
      <c r="AV142" s="36" t="s">
        <v>892</v>
      </c>
      <c r="AW142" s="74" t="str">
        <f t="shared" si="50"/>
        <v>(NC) - GATES</v>
      </c>
      <c r="AX142" s="76">
        <v>458850</v>
      </c>
      <c r="AZ142" s="37" t="s">
        <v>793</v>
      </c>
      <c r="BA142" s="38" t="s">
        <v>921</v>
      </c>
      <c r="BB142" s="74" t="str">
        <f t="shared" si="51"/>
        <v>(NY) - RICHMOND</v>
      </c>
      <c r="BC142" s="76">
        <v>625500</v>
      </c>
      <c r="BE142" s="39" t="s">
        <v>793</v>
      </c>
      <c r="BF142" s="40" t="s">
        <v>858</v>
      </c>
      <c r="BG142" s="41" t="str">
        <f t="shared" si="44"/>
        <v>(NY) - NEW YORK</v>
      </c>
      <c r="BH142" s="77">
        <v>636150</v>
      </c>
      <c r="BK142" s="37" t="s">
        <v>908</v>
      </c>
      <c r="BL142" s="38" t="s">
        <v>976</v>
      </c>
      <c r="BM142" s="43" t="str">
        <f t="shared" si="49"/>
        <v>(TN) - CHEATHAM</v>
      </c>
      <c r="BN142" s="76">
        <v>494500</v>
      </c>
      <c r="BQ142" s="38" t="s">
        <v>997</v>
      </c>
      <c r="BR142" s="37" t="s">
        <v>908</v>
      </c>
      <c r="BS142" s="78" t="str">
        <f t="shared" si="45"/>
        <v>(TN) - MAURY</v>
      </c>
      <c r="BT142" s="79">
        <v>534750</v>
      </c>
      <c r="BW142" s="38" t="s">
        <v>1020</v>
      </c>
      <c r="BX142" s="37" t="s">
        <v>908</v>
      </c>
      <c r="BY142" s="78" t="str">
        <f t="shared" si="46"/>
        <v xml:space="preserve">(TN) - RUTHERFORD </v>
      </c>
      <c r="BZ142" s="80">
        <v>563500</v>
      </c>
      <c r="CC142" s="43" t="s">
        <v>1006</v>
      </c>
      <c r="CD142" s="43" t="s">
        <v>1021</v>
      </c>
      <c r="CE142" s="37" t="s">
        <v>842</v>
      </c>
      <c r="CF142" s="81" t="str">
        <f t="shared" si="39"/>
        <v>(UT) - SALT LAKE COUNTY</v>
      </c>
      <c r="CG142" s="59">
        <v>600300</v>
      </c>
      <c r="CH142" s="59"/>
      <c r="CI142" s="266" t="s">
        <v>1022</v>
      </c>
      <c r="CJ142" s="267" t="s">
        <v>855</v>
      </c>
      <c r="CK142" s="268">
        <v>970800</v>
      </c>
      <c r="CM142" s="43" t="str">
        <f t="shared" si="40"/>
        <v>(VA) - PRINCE WILLIAM COUNTY</v>
      </c>
      <c r="CN142" s="269">
        <f t="shared" si="38"/>
        <v>970800</v>
      </c>
      <c r="CO142" s="269"/>
      <c r="CQ142" s="263" t="s">
        <v>1007</v>
      </c>
      <c r="CR142" s="264" t="s">
        <v>855</v>
      </c>
      <c r="CS142" s="265">
        <v>1089300</v>
      </c>
      <c r="CV142" s="43" t="str">
        <f t="shared" si="47"/>
        <v>(VA) - FAIRFAX COUNTY</v>
      </c>
      <c r="CW142" s="70">
        <f t="shared" si="48"/>
        <v>1089300</v>
      </c>
    </row>
    <row r="143" spans="6:101" ht="15.75" thickBot="1" x14ac:dyDescent="0.3">
      <c r="F143" s="43" t="s">
        <v>1023</v>
      </c>
      <c r="G143" s="58">
        <v>566250</v>
      </c>
      <c r="H143" s="58"/>
      <c r="I143" s="43" t="s">
        <v>1017</v>
      </c>
      <c r="J143" s="68" t="s">
        <v>954</v>
      </c>
      <c r="K143" s="68" t="str">
        <f t="shared" si="41"/>
        <v xml:space="preserve">(WA ) - KING </v>
      </c>
      <c r="L143" s="69">
        <v>500000</v>
      </c>
      <c r="M143" s="68" t="s">
        <v>300</v>
      </c>
      <c r="N143" s="58"/>
      <c r="Y143" s="43" t="s">
        <v>975</v>
      </c>
      <c r="Z143" s="43" t="s">
        <v>612</v>
      </c>
      <c r="AA143" s="68" t="str">
        <f t="shared" si="42"/>
        <v xml:space="preserve">(WY) - TETON </v>
      </c>
      <c r="AB143" s="59">
        <v>652500</v>
      </c>
      <c r="AK143" s="85" t="s">
        <v>908</v>
      </c>
      <c r="AL143" s="86" t="s">
        <v>1024</v>
      </c>
      <c r="AM143" s="74" t="str">
        <f t="shared" si="43"/>
        <v>(TN) - TROUSDALE</v>
      </c>
      <c r="AN143" s="87">
        <v>417500</v>
      </c>
      <c r="AP143" s="72" t="s">
        <v>793</v>
      </c>
      <c r="AQ143" s="73" t="s">
        <v>929</v>
      </c>
      <c r="AR143" s="74" t="str">
        <f t="shared" si="35"/>
        <v>(NY) - ROCKLAND</v>
      </c>
      <c r="AS143" s="75">
        <v>978750</v>
      </c>
      <c r="AU143" s="35" t="s">
        <v>880</v>
      </c>
      <c r="AV143" s="36" t="s">
        <v>896</v>
      </c>
      <c r="AW143" s="74" t="str">
        <f t="shared" si="50"/>
        <v>(NC) - HYDE</v>
      </c>
      <c r="AX143" s="76">
        <v>483000</v>
      </c>
      <c r="AZ143" s="37" t="s">
        <v>793</v>
      </c>
      <c r="BA143" s="38" t="s">
        <v>929</v>
      </c>
      <c r="BB143" s="74" t="str">
        <f t="shared" si="51"/>
        <v>(NY) - ROCKLAND</v>
      </c>
      <c r="BC143" s="76">
        <v>625500</v>
      </c>
      <c r="BE143" s="39" t="s">
        <v>793</v>
      </c>
      <c r="BF143" s="40" t="s">
        <v>491</v>
      </c>
      <c r="BG143" s="41" t="str">
        <f t="shared" si="44"/>
        <v>(NY) - ORANGE</v>
      </c>
      <c r="BH143" s="77">
        <v>636150</v>
      </c>
      <c r="BK143" s="37" t="s">
        <v>908</v>
      </c>
      <c r="BL143" s="38" t="s">
        <v>979</v>
      </c>
      <c r="BM143" s="43" t="str">
        <f t="shared" si="49"/>
        <v>(TN) - DAVIDSON</v>
      </c>
      <c r="BN143" s="76">
        <v>494500</v>
      </c>
      <c r="BQ143" s="38" t="s">
        <v>1002</v>
      </c>
      <c r="BR143" s="37" t="s">
        <v>908</v>
      </c>
      <c r="BS143" s="78" t="str">
        <f t="shared" si="45"/>
        <v>(TN) - ROBERTSON</v>
      </c>
      <c r="BT143" s="79">
        <v>534750</v>
      </c>
      <c r="BW143" s="38" t="s">
        <v>1025</v>
      </c>
      <c r="BX143" s="37" t="s">
        <v>908</v>
      </c>
      <c r="BY143" s="78" t="str">
        <f t="shared" si="46"/>
        <v xml:space="preserve">(TN) - SMITH </v>
      </c>
      <c r="BZ143" s="80">
        <v>563500</v>
      </c>
      <c r="CC143" s="43" t="s">
        <v>1006</v>
      </c>
      <c r="CD143" s="43" t="s">
        <v>656</v>
      </c>
      <c r="CE143" s="37" t="s">
        <v>842</v>
      </c>
      <c r="CF143" s="81" t="str">
        <f t="shared" si="39"/>
        <v>(UT) - SUMMIT COUNTY</v>
      </c>
      <c r="CG143" s="59">
        <v>817650</v>
      </c>
      <c r="CH143" s="59"/>
      <c r="CI143" s="263" t="s">
        <v>1026</v>
      </c>
      <c r="CJ143" s="264" t="s">
        <v>855</v>
      </c>
      <c r="CK143" s="265">
        <v>970800</v>
      </c>
      <c r="CM143" s="43" t="str">
        <f t="shared" si="40"/>
        <v>(VA) - RAPPAHANNOCK COUNTY</v>
      </c>
      <c r="CN143" s="269">
        <f t="shared" si="38"/>
        <v>970800</v>
      </c>
      <c r="CO143" s="269"/>
      <c r="CQ143" s="266" t="s">
        <v>1011</v>
      </c>
      <c r="CR143" s="267" t="s">
        <v>855</v>
      </c>
      <c r="CS143" s="268">
        <v>1089300</v>
      </c>
      <c r="CV143" s="43" t="str">
        <f t="shared" si="47"/>
        <v>(VA) - FAUQUIER COUNTY</v>
      </c>
      <c r="CW143" s="70">
        <f t="shared" si="48"/>
        <v>1089300</v>
      </c>
    </row>
    <row r="144" spans="6:101" ht="15.75" thickBot="1" x14ac:dyDescent="0.3">
      <c r="F144" s="43" t="s">
        <v>1027</v>
      </c>
      <c r="G144" s="58">
        <v>566250</v>
      </c>
      <c r="H144" s="58"/>
      <c r="I144" s="43" t="s">
        <v>1017</v>
      </c>
      <c r="J144" s="68" t="s">
        <v>958</v>
      </c>
      <c r="K144" s="68" t="str">
        <f t="shared" si="41"/>
        <v xml:space="preserve">(WA ) - PIERCE </v>
      </c>
      <c r="L144" s="69">
        <v>500000</v>
      </c>
      <c r="M144" s="68" t="s">
        <v>300</v>
      </c>
      <c r="N144" s="58"/>
      <c r="AK144" s="85" t="s">
        <v>908</v>
      </c>
      <c r="AL144" s="86" t="s">
        <v>1028</v>
      </c>
      <c r="AM144" s="74" t="str">
        <f t="shared" si="43"/>
        <v>(TN) - WILLIAMSON</v>
      </c>
      <c r="AN144" s="87">
        <v>417500</v>
      </c>
      <c r="AP144" s="72" t="s">
        <v>793</v>
      </c>
      <c r="AQ144" s="73" t="s">
        <v>745</v>
      </c>
      <c r="AR144" s="74" t="str">
        <f t="shared" si="35"/>
        <v>(NY) - SUFFOLK</v>
      </c>
      <c r="AS144" s="75">
        <v>978750</v>
      </c>
      <c r="AU144" s="35" t="s">
        <v>880</v>
      </c>
      <c r="AV144" s="36" t="s">
        <v>900</v>
      </c>
      <c r="AW144" s="74" t="str">
        <f t="shared" si="50"/>
        <v>(NC) - PASQUOTANK</v>
      </c>
      <c r="AX144" s="76">
        <v>625500</v>
      </c>
      <c r="AZ144" s="37" t="s">
        <v>793</v>
      </c>
      <c r="BA144" s="38" t="s">
        <v>745</v>
      </c>
      <c r="BB144" s="74" t="str">
        <f t="shared" si="51"/>
        <v>(NY) - SUFFOLK</v>
      </c>
      <c r="BC144" s="76">
        <v>625500</v>
      </c>
      <c r="BE144" s="39" t="s">
        <v>793</v>
      </c>
      <c r="BF144" s="40" t="s">
        <v>912</v>
      </c>
      <c r="BG144" s="41" t="str">
        <f t="shared" si="44"/>
        <v>(NY) - PUTNAM</v>
      </c>
      <c r="BH144" s="77">
        <v>636150</v>
      </c>
      <c r="BK144" s="37" t="s">
        <v>908</v>
      </c>
      <c r="BL144" s="38" t="s">
        <v>984</v>
      </c>
      <c r="BM144" s="43" t="str">
        <f t="shared" si="49"/>
        <v>(TN) - DICKSON</v>
      </c>
      <c r="BN144" s="76">
        <v>494500</v>
      </c>
      <c r="BQ144" s="38" t="s">
        <v>1009</v>
      </c>
      <c r="BR144" s="37" t="s">
        <v>908</v>
      </c>
      <c r="BS144" s="78" t="str">
        <f t="shared" si="45"/>
        <v>(TN) - RUTHERFORD</v>
      </c>
      <c r="BT144" s="79">
        <v>534750</v>
      </c>
      <c r="BW144" s="38" t="s">
        <v>1029</v>
      </c>
      <c r="BX144" s="37" t="s">
        <v>908</v>
      </c>
      <c r="BY144" s="78" t="str">
        <f t="shared" si="46"/>
        <v xml:space="preserve">(TN) - SUMNER </v>
      </c>
      <c r="BZ144" s="80">
        <v>563500</v>
      </c>
      <c r="CC144" s="43" t="s">
        <v>1006</v>
      </c>
      <c r="CD144" s="43" t="s">
        <v>1030</v>
      </c>
      <c r="CE144" s="37" t="s">
        <v>842</v>
      </c>
      <c r="CF144" s="81" t="str">
        <f t="shared" si="39"/>
        <v>(UT) - TOOELE COUNTY</v>
      </c>
      <c r="CG144" s="59">
        <v>600300</v>
      </c>
      <c r="CH144" s="59"/>
      <c r="CI144" s="266" t="s">
        <v>1031</v>
      </c>
      <c r="CJ144" s="267" t="s">
        <v>855</v>
      </c>
      <c r="CK144" s="268">
        <v>970800</v>
      </c>
      <c r="CM144" s="43" t="str">
        <f t="shared" si="40"/>
        <v>(VA) - SPOTSYLVANIA COUNTY</v>
      </c>
      <c r="CN144" s="269">
        <f t="shared" si="38"/>
        <v>970800</v>
      </c>
      <c r="CO144" s="269"/>
      <c r="CQ144" s="263" t="s">
        <v>1015</v>
      </c>
      <c r="CR144" s="264" t="s">
        <v>855</v>
      </c>
      <c r="CS144" s="265">
        <v>1089300</v>
      </c>
      <c r="CV144" s="43" t="str">
        <f t="shared" si="47"/>
        <v>(VA) - LOUDOUN COUNTY</v>
      </c>
      <c r="CW144" s="70">
        <f t="shared" si="48"/>
        <v>1089300</v>
      </c>
    </row>
    <row r="145" spans="6:101" ht="15.75" thickBot="1" x14ac:dyDescent="0.3">
      <c r="F145" s="43" t="s">
        <v>1032</v>
      </c>
      <c r="G145" s="58">
        <v>566250</v>
      </c>
      <c r="H145" s="58"/>
      <c r="I145" s="43" t="s">
        <v>1017</v>
      </c>
      <c r="J145" s="68" t="s">
        <v>963</v>
      </c>
      <c r="K145" s="68" t="str">
        <f t="shared" si="41"/>
        <v xml:space="preserve">(WA ) - SAN JUAN </v>
      </c>
      <c r="L145" s="69">
        <v>468750</v>
      </c>
      <c r="M145" s="68" t="s">
        <v>300</v>
      </c>
      <c r="N145" s="58"/>
      <c r="AK145" s="85" t="s">
        <v>908</v>
      </c>
      <c r="AL145" s="86" t="s">
        <v>1033</v>
      </c>
      <c r="AM145" s="74" t="str">
        <f t="shared" si="43"/>
        <v>(TN) - WILSON</v>
      </c>
      <c r="AN145" s="87">
        <v>417500</v>
      </c>
      <c r="AP145" s="72" t="s">
        <v>793</v>
      </c>
      <c r="AQ145" s="73" t="s">
        <v>940</v>
      </c>
      <c r="AR145" s="74" t="str">
        <f t="shared" si="35"/>
        <v>(NY) - WESTCHESTER</v>
      </c>
      <c r="AS145" s="75">
        <v>978750</v>
      </c>
      <c r="AU145" s="35" t="s">
        <v>880</v>
      </c>
      <c r="AV145" s="36" t="s">
        <v>905</v>
      </c>
      <c r="AW145" s="74" t="str">
        <f t="shared" si="50"/>
        <v>(NC) - PERQUIMANS</v>
      </c>
      <c r="AX145" s="76">
        <v>625500</v>
      </c>
      <c r="AZ145" s="37" t="s">
        <v>793</v>
      </c>
      <c r="BA145" s="38" t="s">
        <v>940</v>
      </c>
      <c r="BB145" s="74" t="str">
        <f t="shared" si="51"/>
        <v>(NY) - WESTCHESTER</v>
      </c>
      <c r="BC145" s="76">
        <v>625500</v>
      </c>
      <c r="BE145" s="39" t="s">
        <v>793</v>
      </c>
      <c r="BF145" s="40" t="s">
        <v>916</v>
      </c>
      <c r="BG145" s="41" t="str">
        <f t="shared" si="44"/>
        <v>(NY) - QUEENS</v>
      </c>
      <c r="BH145" s="77">
        <v>636150</v>
      </c>
      <c r="BK145" s="37" t="s">
        <v>908</v>
      </c>
      <c r="BL145" s="38" t="s">
        <v>988</v>
      </c>
      <c r="BM145" s="43" t="str">
        <f t="shared" si="49"/>
        <v>(TN) - HICKMAN</v>
      </c>
      <c r="BN145" s="76">
        <v>494500</v>
      </c>
      <c r="BQ145" s="38" t="s">
        <v>1013</v>
      </c>
      <c r="BR145" s="37" t="s">
        <v>908</v>
      </c>
      <c r="BS145" s="78" t="str">
        <f t="shared" si="45"/>
        <v>(TN) - SMITH</v>
      </c>
      <c r="BT145" s="79">
        <v>534750</v>
      </c>
      <c r="BW145" s="38" t="s">
        <v>1034</v>
      </c>
      <c r="BX145" s="37" t="s">
        <v>908</v>
      </c>
      <c r="BY145" s="78" t="str">
        <f t="shared" si="46"/>
        <v xml:space="preserve">(TN) - TROUSDALE </v>
      </c>
      <c r="BZ145" s="80">
        <v>563500</v>
      </c>
      <c r="CC145" s="43" t="s">
        <v>1006</v>
      </c>
      <c r="CD145" s="43" t="s">
        <v>981</v>
      </c>
      <c r="CE145" s="37" t="s">
        <v>842</v>
      </c>
      <c r="CF145" s="81" t="str">
        <f t="shared" si="39"/>
        <v>(UT) - WASATCH COUNTY</v>
      </c>
      <c r="CG145" s="59">
        <v>817650</v>
      </c>
      <c r="CH145" s="59"/>
      <c r="CI145" s="263" t="s">
        <v>1035</v>
      </c>
      <c r="CJ145" s="264" t="s">
        <v>855</v>
      </c>
      <c r="CK145" s="265">
        <v>970800</v>
      </c>
      <c r="CM145" s="43" t="str">
        <f t="shared" si="40"/>
        <v>(VA) - STAFFORD COUNTY</v>
      </c>
      <c r="CN145" s="269">
        <f t="shared" si="38"/>
        <v>970800</v>
      </c>
      <c r="CO145" s="269"/>
      <c r="CQ145" s="266" t="s">
        <v>1022</v>
      </c>
      <c r="CR145" s="267" t="s">
        <v>855</v>
      </c>
      <c r="CS145" s="268">
        <v>1089300</v>
      </c>
      <c r="CV145" s="43" t="str">
        <f t="shared" si="47"/>
        <v>(VA) - MADISON COUNTY</v>
      </c>
      <c r="CW145" s="70">
        <f t="shared" si="48"/>
        <v>1089300</v>
      </c>
    </row>
    <row r="146" spans="6:101" ht="15.75" thickBot="1" x14ac:dyDescent="0.3">
      <c r="F146" s="43" t="s">
        <v>1036</v>
      </c>
      <c r="G146" s="58">
        <v>460000</v>
      </c>
      <c r="H146" s="58"/>
      <c r="I146" s="43" t="s">
        <v>1017</v>
      </c>
      <c r="J146" s="68" t="s">
        <v>967</v>
      </c>
      <c r="K146" s="68" t="str">
        <f t="shared" si="41"/>
        <v xml:space="preserve">(WA ) - SNOHOMISH </v>
      </c>
      <c r="L146" s="69">
        <v>500000</v>
      </c>
      <c r="M146" s="68" t="s">
        <v>300</v>
      </c>
      <c r="N146" s="58"/>
      <c r="AK146" s="72" t="s">
        <v>842</v>
      </c>
      <c r="AL146" s="73" t="s">
        <v>648</v>
      </c>
      <c r="AM146" s="74" t="str">
        <f t="shared" si="43"/>
        <v>(UT) - SUMMIT</v>
      </c>
      <c r="AN146" s="75">
        <v>606250</v>
      </c>
      <c r="AP146" s="72" t="s">
        <v>838</v>
      </c>
      <c r="AQ146" s="73" t="s">
        <v>945</v>
      </c>
      <c r="AR146" s="74" t="str">
        <f t="shared" si="35"/>
        <v>(PA) - PIKE</v>
      </c>
      <c r="AS146" s="75">
        <v>978750</v>
      </c>
      <c r="AU146" s="35" t="s">
        <v>838</v>
      </c>
      <c r="AV146" s="36" t="s">
        <v>945</v>
      </c>
      <c r="AW146" s="74" t="str">
        <f t="shared" si="50"/>
        <v>(PA) - PIKE</v>
      </c>
      <c r="AX146" s="76">
        <v>625500</v>
      </c>
      <c r="AZ146" s="37" t="s">
        <v>838</v>
      </c>
      <c r="BA146" s="38" t="s">
        <v>945</v>
      </c>
      <c r="BB146" s="74" t="str">
        <f t="shared" si="51"/>
        <v>(PA) - PIKE</v>
      </c>
      <c r="BC146" s="76">
        <v>625500</v>
      </c>
      <c r="BE146" s="39" t="s">
        <v>793</v>
      </c>
      <c r="BF146" s="40" t="s">
        <v>921</v>
      </c>
      <c r="BG146" s="41" t="str">
        <f t="shared" si="44"/>
        <v>(NY) - RICHMOND</v>
      </c>
      <c r="BH146" s="77">
        <v>636150</v>
      </c>
      <c r="BK146" s="37" t="s">
        <v>908</v>
      </c>
      <c r="BL146" s="38" t="s">
        <v>992</v>
      </c>
      <c r="BM146" s="43" t="str">
        <f t="shared" si="49"/>
        <v>(TN) - MACON</v>
      </c>
      <c r="BN146" s="76">
        <v>494500</v>
      </c>
      <c r="BQ146" s="38" t="s">
        <v>1019</v>
      </c>
      <c r="BR146" s="37" t="s">
        <v>908</v>
      </c>
      <c r="BS146" s="78" t="str">
        <f t="shared" si="45"/>
        <v>(TN) - SUMNER</v>
      </c>
      <c r="BT146" s="79">
        <v>534750</v>
      </c>
      <c r="BW146" s="38" t="s">
        <v>1037</v>
      </c>
      <c r="BX146" s="37" t="s">
        <v>908</v>
      </c>
      <c r="BY146" s="78" t="str">
        <f t="shared" si="46"/>
        <v xml:space="preserve">(TN) - WILLIAMSON </v>
      </c>
      <c r="BZ146" s="80">
        <v>563500</v>
      </c>
      <c r="CC146" s="43" t="s">
        <v>1006</v>
      </c>
      <c r="CD146" s="43" t="s">
        <v>995</v>
      </c>
      <c r="CE146" s="37" t="s">
        <v>842</v>
      </c>
      <c r="CF146" s="81" t="str">
        <f t="shared" si="39"/>
        <v>(UT) - WEBER COUNTY</v>
      </c>
      <c r="CG146" s="59">
        <v>646300</v>
      </c>
      <c r="CH146" s="59"/>
      <c r="CI146" s="266" t="s">
        <v>1038</v>
      </c>
      <c r="CJ146" s="267" t="s">
        <v>855</v>
      </c>
      <c r="CK146" s="268">
        <v>970800</v>
      </c>
      <c r="CM146" s="43" t="str">
        <f t="shared" si="40"/>
        <v>(VA) - WARREN COUNTY</v>
      </c>
      <c r="CN146" s="269">
        <f t="shared" si="38"/>
        <v>970800</v>
      </c>
      <c r="CO146" s="269"/>
      <c r="CQ146" s="263" t="s">
        <v>1026</v>
      </c>
      <c r="CR146" s="264" t="s">
        <v>855</v>
      </c>
      <c r="CS146" s="265">
        <v>1089300</v>
      </c>
      <c r="CV146" s="43" t="str">
        <f t="shared" si="47"/>
        <v>(VA) - PRINCE WILLIAM COUNTY</v>
      </c>
      <c r="CW146" s="70">
        <f t="shared" si="48"/>
        <v>1089300</v>
      </c>
    </row>
    <row r="147" spans="6:101" ht="15.75" thickBot="1" x14ac:dyDescent="0.3">
      <c r="F147" s="43" t="s">
        <v>1039</v>
      </c>
      <c r="G147" s="58">
        <v>460000</v>
      </c>
      <c r="H147" s="58"/>
      <c r="I147" s="43" t="s">
        <v>1040</v>
      </c>
      <c r="J147" s="68" t="s">
        <v>631</v>
      </c>
      <c r="K147" s="68" t="str">
        <f t="shared" si="41"/>
        <v xml:space="preserve">(WV ) - JEFFERSON </v>
      </c>
      <c r="L147" s="69">
        <v>818750</v>
      </c>
      <c r="M147" s="68" t="s">
        <v>592</v>
      </c>
      <c r="N147" s="58"/>
      <c r="AK147" s="72" t="s">
        <v>855</v>
      </c>
      <c r="AL147" s="73" t="s">
        <v>1041</v>
      </c>
      <c r="AM147" s="74" t="str">
        <f t="shared" si="43"/>
        <v>(VA) - ALEXANDRIA CITY</v>
      </c>
      <c r="AN147" s="75">
        <v>692500</v>
      </c>
      <c r="AP147" s="72" t="s">
        <v>862</v>
      </c>
      <c r="AQ147" s="73" t="s">
        <v>709</v>
      </c>
      <c r="AR147" s="74" t="str">
        <f t="shared" si="35"/>
        <v>(RI) - BRISTOL</v>
      </c>
      <c r="AS147" s="75">
        <v>431250</v>
      </c>
      <c r="AU147" s="35" t="s">
        <v>862</v>
      </c>
      <c r="AV147" s="36" t="s">
        <v>709</v>
      </c>
      <c r="AW147" s="74" t="str">
        <f t="shared" si="50"/>
        <v>(RI) - BRISTOL</v>
      </c>
      <c r="AX147" s="76">
        <v>426650</v>
      </c>
      <c r="AZ147" s="37" t="s">
        <v>862</v>
      </c>
      <c r="BA147" s="38" t="s">
        <v>709</v>
      </c>
      <c r="BB147" s="74" t="str">
        <f t="shared" si="51"/>
        <v>(RI) - BRISTOL</v>
      </c>
      <c r="BC147" s="76">
        <v>426650</v>
      </c>
      <c r="BE147" s="39" t="s">
        <v>793</v>
      </c>
      <c r="BF147" s="40" t="s">
        <v>929</v>
      </c>
      <c r="BG147" s="41" t="str">
        <f t="shared" si="44"/>
        <v>(NY) - ROCKLAND</v>
      </c>
      <c r="BH147" s="77">
        <v>636150</v>
      </c>
      <c r="BK147" s="37" t="s">
        <v>908</v>
      </c>
      <c r="BL147" s="38" t="s">
        <v>997</v>
      </c>
      <c r="BM147" s="43" t="str">
        <f t="shared" si="49"/>
        <v>(TN) - MAURY</v>
      </c>
      <c r="BN147" s="76">
        <v>494500</v>
      </c>
      <c r="BQ147" s="38" t="s">
        <v>1024</v>
      </c>
      <c r="BR147" s="37" t="s">
        <v>908</v>
      </c>
      <c r="BS147" s="78" t="str">
        <f t="shared" si="45"/>
        <v>(TN) - TROUSDALE</v>
      </c>
      <c r="BT147" s="79">
        <v>534750</v>
      </c>
      <c r="BW147" s="38" t="s">
        <v>1042</v>
      </c>
      <c r="BX147" s="37" t="s">
        <v>908</v>
      </c>
      <c r="BY147" s="78" t="str">
        <f t="shared" si="46"/>
        <v xml:space="preserve">(TN) - WILSON </v>
      </c>
      <c r="BZ147" s="80">
        <v>563500</v>
      </c>
      <c r="CC147" s="43" t="s">
        <v>1043</v>
      </c>
      <c r="CD147" s="43" t="s">
        <v>986</v>
      </c>
      <c r="CE147" s="37" t="s">
        <v>855</v>
      </c>
      <c r="CF147" s="81" t="str">
        <f t="shared" si="39"/>
        <v>(VA) - ARLINGTON COUNTY</v>
      </c>
      <c r="CG147" s="59">
        <v>822375</v>
      </c>
      <c r="CH147" s="59"/>
      <c r="CI147" s="263" t="s">
        <v>1041</v>
      </c>
      <c r="CJ147" s="264" t="s">
        <v>855</v>
      </c>
      <c r="CK147" s="265">
        <v>970800</v>
      </c>
      <c r="CM147" s="43" t="str">
        <f t="shared" si="40"/>
        <v>(VA) - ALEXANDRIA CITY</v>
      </c>
      <c r="CN147" s="269">
        <f t="shared" si="38"/>
        <v>970800</v>
      </c>
      <c r="CO147" s="269"/>
      <c r="CQ147" s="266" t="s">
        <v>1031</v>
      </c>
      <c r="CR147" s="267" t="s">
        <v>855</v>
      </c>
      <c r="CS147" s="268">
        <v>1089300</v>
      </c>
      <c r="CV147" s="43" t="str">
        <f t="shared" si="47"/>
        <v>(VA) - RAPPAHANNOCK COUNTY</v>
      </c>
      <c r="CW147" s="70">
        <f t="shared" si="48"/>
        <v>1089300</v>
      </c>
    </row>
    <row r="148" spans="6:101" ht="15.75" thickBot="1" x14ac:dyDescent="0.3">
      <c r="F148" s="43" t="s">
        <v>1044</v>
      </c>
      <c r="G148" s="58">
        <v>566250</v>
      </c>
      <c r="H148" s="58"/>
      <c r="I148" s="43" t="s">
        <v>1045</v>
      </c>
      <c r="J148" s="68" t="s">
        <v>612</v>
      </c>
      <c r="K148" s="68" t="str">
        <f t="shared" si="41"/>
        <v xml:space="preserve">(WY ) - TETON </v>
      </c>
      <c r="L148" s="69">
        <v>652500</v>
      </c>
      <c r="M148" s="68" t="s">
        <v>300</v>
      </c>
      <c r="AK148" s="72" t="s">
        <v>855</v>
      </c>
      <c r="AL148" s="73" t="s">
        <v>1046</v>
      </c>
      <c r="AM148" s="74" t="str">
        <f t="shared" si="43"/>
        <v>(VA) - ARLINGTON</v>
      </c>
      <c r="AN148" s="75">
        <v>692500</v>
      </c>
      <c r="AP148" s="72" t="s">
        <v>862</v>
      </c>
      <c r="AQ148" s="73" t="s">
        <v>955</v>
      </c>
      <c r="AR148" s="74" t="str">
        <f t="shared" si="35"/>
        <v>(RI) - KENT</v>
      </c>
      <c r="AS148" s="75">
        <v>431250</v>
      </c>
      <c r="AU148" s="35" t="s">
        <v>862</v>
      </c>
      <c r="AV148" s="36" t="s">
        <v>955</v>
      </c>
      <c r="AW148" s="74" t="str">
        <f t="shared" si="50"/>
        <v>(RI) - KENT</v>
      </c>
      <c r="AX148" s="76">
        <v>426650</v>
      </c>
      <c r="AZ148" s="37" t="s">
        <v>862</v>
      </c>
      <c r="BA148" s="38" t="s">
        <v>955</v>
      </c>
      <c r="BB148" s="74" t="str">
        <f t="shared" si="51"/>
        <v>(RI) - KENT</v>
      </c>
      <c r="BC148" s="76">
        <v>426650</v>
      </c>
      <c r="BE148" s="39" t="s">
        <v>793</v>
      </c>
      <c r="BF148" s="40" t="s">
        <v>745</v>
      </c>
      <c r="BG148" s="41" t="str">
        <f t="shared" si="44"/>
        <v>(NY) - SUFFOLK</v>
      </c>
      <c r="BH148" s="77">
        <v>636150</v>
      </c>
      <c r="BK148" s="37" t="s">
        <v>908</v>
      </c>
      <c r="BL148" s="38" t="s">
        <v>1002</v>
      </c>
      <c r="BM148" s="43" t="str">
        <f t="shared" si="49"/>
        <v>(TN) - ROBERTSON</v>
      </c>
      <c r="BN148" s="76">
        <v>494500</v>
      </c>
      <c r="BQ148" s="38" t="s">
        <v>1028</v>
      </c>
      <c r="BR148" s="37" t="s">
        <v>908</v>
      </c>
      <c r="BS148" s="78" t="str">
        <f t="shared" si="45"/>
        <v>(TN) - WILLIAMSON</v>
      </c>
      <c r="BT148" s="79">
        <v>534750</v>
      </c>
      <c r="BW148" s="38" t="s">
        <v>1047</v>
      </c>
      <c r="BX148" s="37" t="s">
        <v>842</v>
      </c>
      <c r="BY148" s="78" t="str">
        <f t="shared" si="46"/>
        <v xml:space="preserve">(UT) - BOX ELDER </v>
      </c>
      <c r="BZ148" s="80">
        <v>646300</v>
      </c>
      <c r="CC148" s="43" t="s">
        <v>1043</v>
      </c>
      <c r="CD148" s="43" t="s">
        <v>990</v>
      </c>
      <c r="CE148" s="37" t="s">
        <v>855</v>
      </c>
      <c r="CF148" s="81" t="str">
        <f t="shared" si="39"/>
        <v>(VA) - CLARKE COUNTY</v>
      </c>
      <c r="CG148" s="59">
        <v>822375</v>
      </c>
      <c r="CH148" s="59"/>
      <c r="CI148" s="266" t="s">
        <v>1048</v>
      </c>
      <c r="CJ148" s="267" t="s">
        <v>855</v>
      </c>
      <c r="CK148" s="268">
        <v>970800</v>
      </c>
      <c r="CM148" s="43" t="str">
        <f t="shared" si="40"/>
        <v>(VA) - FAIRFAX CITY</v>
      </c>
      <c r="CN148" s="269">
        <f t="shared" si="38"/>
        <v>970800</v>
      </c>
      <c r="CO148" s="269"/>
      <c r="CQ148" s="263" t="s">
        <v>1035</v>
      </c>
      <c r="CR148" s="264" t="s">
        <v>855</v>
      </c>
      <c r="CS148" s="265">
        <v>1089300</v>
      </c>
      <c r="CV148" s="43" t="str">
        <f t="shared" si="47"/>
        <v>(VA) - SPOTSYLVANIA COUNTY</v>
      </c>
      <c r="CW148" s="70">
        <f t="shared" si="48"/>
        <v>1089300</v>
      </c>
    </row>
    <row r="149" spans="6:101" ht="15.75" thickBot="1" x14ac:dyDescent="0.3">
      <c r="F149" s="43" t="s">
        <v>1049</v>
      </c>
      <c r="G149" s="58">
        <v>566250</v>
      </c>
      <c r="H149" s="58"/>
      <c r="I149" s="58"/>
      <c r="J149" s="58"/>
      <c r="K149" s="58"/>
      <c r="M149" s="58"/>
      <c r="AK149" s="72" t="s">
        <v>855</v>
      </c>
      <c r="AL149" s="73" t="s">
        <v>1050</v>
      </c>
      <c r="AM149" s="74" t="str">
        <f t="shared" si="43"/>
        <v>(VA) - CLARKE</v>
      </c>
      <c r="AN149" s="75">
        <v>692500</v>
      </c>
      <c r="AP149" s="72" t="s">
        <v>862</v>
      </c>
      <c r="AQ149" s="73" t="s">
        <v>960</v>
      </c>
      <c r="AR149" s="74" t="str">
        <f t="shared" si="35"/>
        <v>(RI) - NEWPORT</v>
      </c>
      <c r="AS149" s="75">
        <v>431250</v>
      </c>
      <c r="AU149" s="35" t="s">
        <v>862</v>
      </c>
      <c r="AV149" s="36" t="s">
        <v>960</v>
      </c>
      <c r="AW149" s="74" t="str">
        <f t="shared" si="50"/>
        <v>(RI) - NEWPORT</v>
      </c>
      <c r="AX149" s="76">
        <v>426650</v>
      </c>
      <c r="AZ149" s="37" t="s">
        <v>862</v>
      </c>
      <c r="BA149" s="38" t="s">
        <v>960</v>
      </c>
      <c r="BB149" s="74" t="str">
        <f t="shared" si="51"/>
        <v>(RI) - NEWPORT</v>
      </c>
      <c r="BC149" s="76">
        <v>426650</v>
      </c>
      <c r="BE149" s="39" t="s">
        <v>793</v>
      </c>
      <c r="BF149" s="40" t="s">
        <v>940</v>
      </c>
      <c r="BG149" s="41" t="str">
        <f t="shared" si="44"/>
        <v>(NY) - WESTCHESTER</v>
      </c>
      <c r="BH149" s="77">
        <v>636150</v>
      </c>
      <c r="BK149" s="37" t="s">
        <v>908</v>
      </c>
      <c r="BL149" s="38" t="s">
        <v>1009</v>
      </c>
      <c r="BM149" s="43" t="str">
        <f t="shared" si="49"/>
        <v>(TN) - RUTHERFORD</v>
      </c>
      <c r="BN149" s="76">
        <v>494500</v>
      </c>
      <c r="BQ149" s="38" t="s">
        <v>1033</v>
      </c>
      <c r="BR149" s="37" t="s">
        <v>908</v>
      </c>
      <c r="BS149" s="78" t="str">
        <f t="shared" si="45"/>
        <v>(TN) - WILSON</v>
      </c>
      <c r="BT149" s="79">
        <v>534750</v>
      </c>
      <c r="BW149" s="38" t="s">
        <v>1051</v>
      </c>
      <c r="BX149" s="37" t="s">
        <v>842</v>
      </c>
      <c r="BY149" s="78" t="str">
        <f t="shared" si="46"/>
        <v xml:space="preserve">(UT) - DAVIS </v>
      </c>
      <c r="BZ149" s="80">
        <v>646300</v>
      </c>
      <c r="CC149" s="43" t="s">
        <v>1043</v>
      </c>
      <c r="CD149" s="43" t="s">
        <v>994</v>
      </c>
      <c r="CE149" s="37" t="s">
        <v>855</v>
      </c>
      <c r="CF149" s="81" t="str">
        <f t="shared" si="39"/>
        <v>(VA) - CULPEPER COUNTY</v>
      </c>
      <c r="CG149" s="59">
        <v>822375</v>
      </c>
      <c r="CH149" s="59"/>
      <c r="CI149" s="263" t="s">
        <v>1052</v>
      </c>
      <c r="CJ149" s="264" t="s">
        <v>855</v>
      </c>
      <c r="CK149" s="265">
        <v>970800</v>
      </c>
      <c r="CM149" s="43" t="str">
        <f t="shared" si="40"/>
        <v>(VA) - FALLS CHURCH CITY</v>
      </c>
      <c r="CN149" s="269">
        <f t="shared" si="38"/>
        <v>970800</v>
      </c>
      <c r="CO149" s="269"/>
      <c r="CQ149" s="266" t="s">
        <v>1038</v>
      </c>
      <c r="CR149" s="267" t="s">
        <v>855</v>
      </c>
      <c r="CS149" s="268">
        <v>1089300</v>
      </c>
      <c r="CV149" s="43" t="str">
        <f t="shared" si="47"/>
        <v>(VA) - STAFFORD COUNTY</v>
      </c>
      <c r="CW149" s="70">
        <f t="shared" si="48"/>
        <v>1089300</v>
      </c>
    </row>
    <row r="150" spans="6:101" ht="15.75" thickBot="1" x14ac:dyDescent="0.3">
      <c r="F150" s="43" t="s">
        <v>1053</v>
      </c>
      <c r="G150" s="58">
        <v>452500</v>
      </c>
      <c r="H150" s="58"/>
      <c r="I150" s="58"/>
      <c r="J150" s="58"/>
      <c r="K150" s="58"/>
      <c r="M150" s="58"/>
      <c r="AK150" s="85" t="s">
        <v>855</v>
      </c>
      <c r="AL150" s="86" t="s">
        <v>1054</v>
      </c>
      <c r="AM150" s="74" t="str">
        <f t="shared" si="43"/>
        <v>(VA) - CULPEPER</v>
      </c>
      <c r="AN150" s="87">
        <v>692500</v>
      </c>
      <c r="AP150" s="72" t="s">
        <v>862</v>
      </c>
      <c r="AQ150" s="73" t="s">
        <v>964</v>
      </c>
      <c r="AR150" s="74" t="str">
        <f t="shared" si="35"/>
        <v>(RI) - PROVIDENCE</v>
      </c>
      <c r="AS150" s="75">
        <v>431250</v>
      </c>
      <c r="AU150" s="35" t="s">
        <v>862</v>
      </c>
      <c r="AV150" s="36" t="s">
        <v>964</v>
      </c>
      <c r="AW150" s="74" t="str">
        <f t="shared" si="50"/>
        <v>(RI) - PROVIDENCE</v>
      </c>
      <c r="AX150" s="76">
        <v>426650</v>
      </c>
      <c r="AZ150" s="37" t="s">
        <v>862</v>
      </c>
      <c r="BA150" s="38" t="s">
        <v>964</v>
      </c>
      <c r="BB150" s="74" t="str">
        <f t="shared" si="51"/>
        <v>(RI) - PROVIDENCE</v>
      </c>
      <c r="BC150" s="76">
        <v>426650</v>
      </c>
      <c r="BE150" s="39" t="s">
        <v>838</v>
      </c>
      <c r="BF150" s="40" t="s">
        <v>945</v>
      </c>
      <c r="BG150" s="41" t="str">
        <f t="shared" si="44"/>
        <v>(PA) - PIKE</v>
      </c>
      <c r="BH150" s="77">
        <v>636150</v>
      </c>
      <c r="BK150" s="37" t="s">
        <v>908</v>
      </c>
      <c r="BL150" s="38" t="s">
        <v>1013</v>
      </c>
      <c r="BM150" s="43" t="str">
        <f t="shared" si="49"/>
        <v>(TN) - SMITH</v>
      </c>
      <c r="BN150" s="76">
        <v>494500</v>
      </c>
      <c r="BQ150" s="38" t="s">
        <v>1055</v>
      </c>
      <c r="BR150" s="37" t="s">
        <v>842</v>
      </c>
      <c r="BS150" s="78" t="str">
        <f t="shared" si="45"/>
        <v>(UT) - SALT LAKE</v>
      </c>
      <c r="BT150" s="79">
        <v>600300</v>
      </c>
      <c r="BW150" s="38" t="s">
        <v>1056</v>
      </c>
      <c r="BX150" s="37" t="s">
        <v>842</v>
      </c>
      <c r="BY150" s="78" t="str">
        <f t="shared" si="46"/>
        <v xml:space="preserve">(UT) - MORGAN </v>
      </c>
      <c r="BZ150" s="80">
        <v>646300</v>
      </c>
      <c r="CC150" s="43" t="s">
        <v>1043</v>
      </c>
      <c r="CD150" s="43" t="s">
        <v>999</v>
      </c>
      <c r="CE150" s="37" t="s">
        <v>855</v>
      </c>
      <c r="CF150" s="81" t="str">
        <f t="shared" si="39"/>
        <v>(VA) - FAIRFAX COUNTY</v>
      </c>
      <c r="CG150" s="59">
        <v>822375</v>
      </c>
      <c r="CH150" s="59"/>
      <c r="CI150" s="266" t="s">
        <v>1057</v>
      </c>
      <c r="CJ150" s="267" t="s">
        <v>855</v>
      </c>
      <c r="CK150" s="268">
        <v>970800</v>
      </c>
      <c r="CM150" s="43" t="str">
        <f t="shared" si="40"/>
        <v>(VA) - FREDERICKSBURG CITY</v>
      </c>
      <c r="CN150" s="269">
        <f t="shared" si="38"/>
        <v>970800</v>
      </c>
      <c r="CO150" s="269"/>
      <c r="CQ150" s="263" t="s">
        <v>1041</v>
      </c>
      <c r="CR150" s="264" t="s">
        <v>855</v>
      </c>
      <c r="CS150" s="265">
        <v>1089300</v>
      </c>
      <c r="CV150" s="43" t="str">
        <f t="shared" si="47"/>
        <v>(VA) - WARREN COUNTY</v>
      </c>
      <c r="CW150" s="70">
        <f t="shared" si="48"/>
        <v>1089300</v>
      </c>
    </row>
    <row r="151" spans="6:101" ht="15.75" thickBot="1" x14ac:dyDescent="0.3">
      <c r="F151" s="43" t="s">
        <v>1058</v>
      </c>
      <c r="G151" s="58">
        <v>768750</v>
      </c>
      <c r="H151" s="58"/>
      <c r="I151" s="58"/>
      <c r="J151" s="58"/>
      <c r="K151" s="58"/>
      <c r="M151" s="58"/>
      <c r="AK151" s="72" t="s">
        <v>855</v>
      </c>
      <c r="AL151" s="73" t="s">
        <v>1048</v>
      </c>
      <c r="AM151" s="74" t="str">
        <f t="shared" si="43"/>
        <v>(VA) - FAIRFAX CITY</v>
      </c>
      <c r="AN151" s="75">
        <v>692500</v>
      </c>
      <c r="AP151" s="72" t="s">
        <v>862</v>
      </c>
      <c r="AQ151" s="73" t="s">
        <v>968</v>
      </c>
      <c r="AR151" s="74" t="str">
        <f t="shared" si="35"/>
        <v>(RI) - WASHINGTON</v>
      </c>
      <c r="AS151" s="75">
        <v>431250</v>
      </c>
      <c r="AU151" s="35" t="s">
        <v>862</v>
      </c>
      <c r="AV151" s="36" t="s">
        <v>968</v>
      </c>
      <c r="AW151" s="74" t="str">
        <f t="shared" si="50"/>
        <v>(RI) - WASHINGTON</v>
      </c>
      <c r="AX151" s="76">
        <v>426650</v>
      </c>
      <c r="AZ151" s="37" t="s">
        <v>862</v>
      </c>
      <c r="BA151" s="38" t="s">
        <v>968</v>
      </c>
      <c r="BB151" s="74" t="str">
        <f t="shared" si="51"/>
        <v>(RI) - WASHINGTON</v>
      </c>
      <c r="BC151" s="76">
        <v>426650</v>
      </c>
      <c r="BE151" s="39" t="s">
        <v>862</v>
      </c>
      <c r="BF151" s="40" t="s">
        <v>709</v>
      </c>
      <c r="BG151" s="41" t="str">
        <f t="shared" si="44"/>
        <v>(RI) - BRISTOL</v>
      </c>
      <c r="BH151" s="77">
        <v>426650</v>
      </c>
      <c r="BK151" s="37" t="s">
        <v>908</v>
      </c>
      <c r="BL151" s="38" t="s">
        <v>1019</v>
      </c>
      <c r="BM151" s="43" t="str">
        <f t="shared" si="49"/>
        <v>(TN) - SUMNER</v>
      </c>
      <c r="BN151" s="76">
        <v>494500</v>
      </c>
      <c r="BQ151" s="38" t="s">
        <v>648</v>
      </c>
      <c r="BR151" s="37" t="s">
        <v>842</v>
      </c>
      <c r="BS151" s="78" t="str">
        <f t="shared" si="45"/>
        <v>(UT) - SUMMIT</v>
      </c>
      <c r="BT151" s="79">
        <v>726525</v>
      </c>
      <c r="BW151" s="38" t="s">
        <v>843</v>
      </c>
      <c r="BX151" s="37" t="s">
        <v>842</v>
      </c>
      <c r="BY151" s="78" t="str">
        <f t="shared" si="46"/>
        <v xml:space="preserve">(UT) - SALT LAKE </v>
      </c>
      <c r="BZ151" s="80">
        <v>600300</v>
      </c>
      <c r="CC151" s="43" t="s">
        <v>1043</v>
      </c>
      <c r="CD151" s="43" t="s">
        <v>1007</v>
      </c>
      <c r="CE151" s="37" t="s">
        <v>855</v>
      </c>
      <c r="CF151" s="81" t="str">
        <f t="shared" si="39"/>
        <v>(VA) - FAUQUIER COUNTY</v>
      </c>
      <c r="CG151" s="59">
        <v>822375</v>
      </c>
      <c r="CH151" s="59"/>
      <c r="CI151" s="263" t="s">
        <v>1059</v>
      </c>
      <c r="CJ151" s="264" t="s">
        <v>855</v>
      </c>
      <c r="CK151" s="265">
        <v>970800</v>
      </c>
      <c r="CM151" s="43" t="str">
        <f t="shared" si="40"/>
        <v>(VA) - MANASSAS CITY</v>
      </c>
      <c r="CN151" s="269">
        <f t="shared" si="38"/>
        <v>970800</v>
      </c>
      <c r="CO151" s="269"/>
      <c r="CQ151" s="266" t="s">
        <v>1048</v>
      </c>
      <c r="CR151" s="267" t="s">
        <v>855</v>
      </c>
      <c r="CS151" s="268">
        <v>1089300</v>
      </c>
      <c r="CV151" s="43" t="str">
        <f t="shared" si="47"/>
        <v>(VA) - ALEXANDRIA CITY</v>
      </c>
      <c r="CW151" s="70">
        <f t="shared" si="48"/>
        <v>1089300</v>
      </c>
    </row>
    <row r="152" spans="6:101" ht="15.75" thickBot="1" x14ac:dyDescent="0.3">
      <c r="F152" s="43" t="s">
        <v>1060</v>
      </c>
      <c r="G152" s="58">
        <v>566250</v>
      </c>
      <c r="H152" s="58"/>
      <c r="I152" s="58"/>
      <c r="J152" s="58"/>
      <c r="K152" s="58"/>
      <c r="M152" s="58"/>
      <c r="AK152" s="72" t="s">
        <v>855</v>
      </c>
      <c r="AL152" s="73" t="s">
        <v>999</v>
      </c>
      <c r="AM152" s="74" t="str">
        <f t="shared" si="43"/>
        <v>(VA) - FAIRFAX COUNTY</v>
      </c>
      <c r="AN152" s="75">
        <v>692500</v>
      </c>
      <c r="AP152" s="72" t="s">
        <v>908</v>
      </c>
      <c r="AQ152" s="73" t="s">
        <v>972</v>
      </c>
      <c r="AR152" s="74" t="str">
        <f t="shared" ref="AR152:AR236" si="52">CONCATENATE("(",AP152,") - ",AQ152)</f>
        <v>(TN) - CANNON</v>
      </c>
      <c r="AS152" s="75">
        <v>417500</v>
      </c>
      <c r="AU152" s="35" t="s">
        <v>908</v>
      </c>
      <c r="AV152" s="36" t="s">
        <v>972</v>
      </c>
      <c r="AW152" s="74" t="str">
        <f t="shared" si="50"/>
        <v>(TN) - CANNON</v>
      </c>
      <c r="AX152" s="76">
        <v>425500</v>
      </c>
      <c r="AZ152" s="37" t="s">
        <v>908</v>
      </c>
      <c r="BA152" s="38" t="s">
        <v>972</v>
      </c>
      <c r="BB152" s="74" t="str">
        <f t="shared" si="51"/>
        <v>(TN) - CANNON</v>
      </c>
      <c r="BC152" s="76">
        <v>437000</v>
      </c>
      <c r="BE152" s="39" t="s">
        <v>862</v>
      </c>
      <c r="BF152" s="40" t="s">
        <v>955</v>
      </c>
      <c r="BG152" s="41" t="str">
        <f t="shared" si="44"/>
        <v>(RI) - KENT</v>
      </c>
      <c r="BH152" s="77">
        <v>426650</v>
      </c>
      <c r="BK152" s="37" t="s">
        <v>908</v>
      </c>
      <c r="BL152" s="38" t="s">
        <v>1024</v>
      </c>
      <c r="BM152" s="43" t="str">
        <f t="shared" si="49"/>
        <v>(TN) - TROUSDALE</v>
      </c>
      <c r="BN152" s="76">
        <v>494500</v>
      </c>
      <c r="BQ152" s="38" t="s">
        <v>1061</v>
      </c>
      <c r="BR152" s="37" t="s">
        <v>842</v>
      </c>
      <c r="BS152" s="78" t="str">
        <f t="shared" si="45"/>
        <v>(UT) - TOOELE</v>
      </c>
      <c r="BT152" s="79">
        <v>600300</v>
      </c>
      <c r="BW152" s="38" t="s">
        <v>554</v>
      </c>
      <c r="BX152" s="37" t="s">
        <v>842</v>
      </c>
      <c r="BY152" s="78" t="str">
        <f t="shared" si="46"/>
        <v xml:space="preserve">(UT) - SUMMIT </v>
      </c>
      <c r="BZ152" s="80">
        <v>762450</v>
      </c>
      <c r="CC152" s="43" t="s">
        <v>1043</v>
      </c>
      <c r="CD152" s="43" t="s">
        <v>1011</v>
      </c>
      <c r="CE152" s="37" t="s">
        <v>855</v>
      </c>
      <c r="CF152" s="81" t="str">
        <f t="shared" si="39"/>
        <v>(VA) - LOUDOUN COUNTY</v>
      </c>
      <c r="CG152" s="59">
        <v>822375</v>
      </c>
      <c r="CH152" s="59"/>
      <c r="CI152" s="266" t="s">
        <v>1062</v>
      </c>
      <c r="CJ152" s="267" t="s">
        <v>855</v>
      </c>
      <c r="CK152" s="268">
        <v>970800</v>
      </c>
      <c r="CM152" s="43" t="str">
        <f t="shared" si="40"/>
        <v>(VA) - MANASSAS PARK CITY</v>
      </c>
      <c r="CN152" s="269">
        <f t="shared" si="38"/>
        <v>970800</v>
      </c>
      <c r="CO152" s="269"/>
      <c r="CQ152" s="263" t="s">
        <v>1052</v>
      </c>
      <c r="CR152" s="264" t="s">
        <v>855</v>
      </c>
      <c r="CS152" s="265">
        <v>1089300</v>
      </c>
      <c r="CV152" s="43" t="str">
        <f t="shared" si="47"/>
        <v>(VA) - FAIRFAX CITY</v>
      </c>
      <c r="CW152" s="70">
        <f t="shared" si="48"/>
        <v>1089300</v>
      </c>
    </row>
    <row r="153" spans="6:101" ht="15.75" thickBot="1" x14ac:dyDescent="0.3">
      <c r="F153" s="43" t="s">
        <v>1063</v>
      </c>
      <c r="G153" s="58">
        <v>768750</v>
      </c>
      <c r="H153" s="58"/>
      <c r="I153" s="58"/>
      <c r="J153" s="58"/>
      <c r="K153" s="58"/>
      <c r="M153" s="58"/>
      <c r="AK153" s="72" t="s">
        <v>855</v>
      </c>
      <c r="AL153" s="73" t="s">
        <v>1052</v>
      </c>
      <c r="AM153" s="74" t="str">
        <f t="shared" si="43"/>
        <v>(VA) - FALLS CHURCH CITY</v>
      </c>
      <c r="AN153" s="75">
        <v>692500</v>
      </c>
      <c r="AP153" s="72" t="s">
        <v>908</v>
      </c>
      <c r="AQ153" s="73" t="s">
        <v>976</v>
      </c>
      <c r="AR153" s="74" t="str">
        <f t="shared" si="52"/>
        <v>(TN) - CHEATHAM</v>
      </c>
      <c r="AS153" s="75">
        <v>417500</v>
      </c>
      <c r="AU153" s="35" t="s">
        <v>908</v>
      </c>
      <c r="AV153" s="36" t="s">
        <v>976</v>
      </c>
      <c r="AW153" s="74" t="str">
        <f t="shared" si="50"/>
        <v>(TN) - CHEATHAM</v>
      </c>
      <c r="AX153" s="76">
        <v>425500</v>
      </c>
      <c r="AZ153" s="37" t="s">
        <v>908</v>
      </c>
      <c r="BA153" s="38" t="s">
        <v>976</v>
      </c>
      <c r="BB153" s="74" t="str">
        <f t="shared" si="51"/>
        <v>(TN) - CHEATHAM</v>
      </c>
      <c r="BC153" s="76">
        <v>437000</v>
      </c>
      <c r="BE153" s="39" t="s">
        <v>862</v>
      </c>
      <c r="BF153" s="40" t="s">
        <v>960</v>
      </c>
      <c r="BG153" s="41" t="str">
        <f t="shared" si="44"/>
        <v>(RI) - NEWPORT</v>
      </c>
      <c r="BH153" s="77">
        <v>426650</v>
      </c>
      <c r="BK153" s="37" t="s">
        <v>908</v>
      </c>
      <c r="BL153" s="38" t="s">
        <v>1028</v>
      </c>
      <c r="BM153" s="43" t="str">
        <f t="shared" si="49"/>
        <v>(TN) - WILLIAMSON</v>
      </c>
      <c r="BN153" s="76">
        <v>494500</v>
      </c>
      <c r="BQ153" s="38" t="s">
        <v>1064</v>
      </c>
      <c r="BR153" s="37" t="s">
        <v>855</v>
      </c>
      <c r="BS153" s="78" t="str">
        <f t="shared" si="45"/>
        <v>(VA) - AMELIA</v>
      </c>
      <c r="BT153" s="79">
        <v>535900</v>
      </c>
      <c r="BW153" s="38" t="s">
        <v>851</v>
      </c>
      <c r="BX153" s="37" t="s">
        <v>842</v>
      </c>
      <c r="BY153" s="78" t="str">
        <f t="shared" si="46"/>
        <v xml:space="preserve">(UT) - TOOELE </v>
      </c>
      <c r="BZ153" s="80">
        <v>600300</v>
      </c>
      <c r="CC153" s="43" t="s">
        <v>1043</v>
      </c>
      <c r="CD153" s="43" t="s">
        <v>1015</v>
      </c>
      <c r="CE153" s="37" t="s">
        <v>855</v>
      </c>
      <c r="CF153" s="81" t="str">
        <f t="shared" si="39"/>
        <v>(VA) - MADISON COUNTY</v>
      </c>
      <c r="CG153" s="59">
        <v>822375</v>
      </c>
      <c r="CH153" s="59"/>
      <c r="CI153" s="263" t="s">
        <v>1065</v>
      </c>
      <c r="CJ153" s="264" t="s">
        <v>953</v>
      </c>
      <c r="CK153" s="265">
        <v>891250</v>
      </c>
      <c r="CM153" s="43" t="str">
        <f t="shared" si="40"/>
        <v>(WA) - KING COUNTY</v>
      </c>
      <c r="CN153" s="269">
        <f t="shared" si="38"/>
        <v>891250</v>
      </c>
      <c r="CO153" s="269"/>
      <c r="CQ153" s="266" t="s">
        <v>1057</v>
      </c>
      <c r="CR153" s="267" t="s">
        <v>855</v>
      </c>
      <c r="CS153" s="268">
        <v>1089300</v>
      </c>
      <c r="CV153" s="43" t="str">
        <f t="shared" si="47"/>
        <v>(VA) - FALLS CHURCH CITY</v>
      </c>
      <c r="CW153" s="70">
        <f t="shared" si="48"/>
        <v>1089300</v>
      </c>
    </row>
    <row r="154" spans="6:101" ht="15.75" thickBot="1" x14ac:dyDescent="0.3">
      <c r="F154" s="43" t="s">
        <v>1066</v>
      </c>
      <c r="G154" s="58">
        <v>768750</v>
      </c>
      <c r="H154" s="58"/>
      <c r="I154" s="58"/>
      <c r="J154" s="58"/>
      <c r="K154" s="58"/>
      <c r="M154" s="58"/>
      <c r="AK154" s="72" t="s">
        <v>855</v>
      </c>
      <c r="AL154" s="73" t="s">
        <v>1067</v>
      </c>
      <c r="AM154" s="74" t="str">
        <f t="shared" si="43"/>
        <v>(VA) - FAUQUIER</v>
      </c>
      <c r="AN154" s="75">
        <v>692500</v>
      </c>
      <c r="AP154" s="72" t="s">
        <v>908</v>
      </c>
      <c r="AQ154" s="73" t="s">
        <v>979</v>
      </c>
      <c r="AR154" s="74" t="str">
        <f t="shared" si="52"/>
        <v>(TN) - DAVIDSON</v>
      </c>
      <c r="AS154" s="75">
        <v>417500</v>
      </c>
      <c r="AU154" s="35" t="s">
        <v>908</v>
      </c>
      <c r="AV154" s="36" t="s">
        <v>979</v>
      </c>
      <c r="AW154" s="74" t="str">
        <f t="shared" si="50"/>
        <v>(TN) - DAVIDSON</v>
      </c>
      <c r="AX154" s="76">
        <v>425500</v>
      </c>
      <c r="AZ154" s="37" t="s">
        <v>908</v>
      </c>
      <c r="BA154" s="38" t="s">
        <v>979</v>
      </c>
      <c r="BB154" s="74" t="str">
        <f t="shared" si="51"/>
        <v>(TN) - DAVIDSON</v>
      </c>
      <c r="BC154" s="76">
        <v>437000</v>
      </c>
      <c r="BE154" s="39" t="s">
        <v>862</v>
      </c>
      <c r="BF154" s="40" t="s">
        <v>964</v>
      </c>
      <c r="BG154" s="41" t="str">
        <f t="shared" si="44"/>
        <v>(RI) - PROVIDENCE</v>
      </c>
      <c r="BH154" s="77">
        <v>426650</v>
      </c>
      <c r="BK154" s="37" t="s">
        <v>908</v>
      </c>
      <c r="BL154" s="38" t="s">
        <v>1033</v>
      </c>
      <c r="BM154" s="43" t="str">
        <f t="shared" si="49"/>
        <v>(TN) - WILSON</v>
      </c>
      <c r="BN154" s="76">
        <v>494500</v>
      </c>
      <c r="BQ154" s="38" t="s">
        <v>1046</v>
      </c>
      <c r="BR154" s="37" t="s">
        <v>855</v>
      </c>
      <c r="BS154" s="78" t="str">
        <f t="shared" si="45"/>
        <v>(VA) - ARLINGTON</v>
      </c>
      <c r="BT154" s="79">
        <v>726525</v>
      </c>
      <c r="BW154" s="38" t="s">
        <v>1068</v>
      </c>
      <c r="BX154" s="37" t="s">
        <v>842</v>
      </c>
      <c r="BY154" s="78" t="str">
        <f t="shared" si="46"/>
        <v xml:space="preserve">(UT) - WASATCH </v>
      </c>
      <c r="BZ154" s="80">
        <v>762450</v>
      </c>
      <c r="CC154" s="43" t="s">
        <v>1043</v>
      </c>
      <c r="CD154" s="43" t="s">
        <v>1022</v>
      </c>
      <c r="CE154" s="37" t="s">
        <v>855</v>
      </c>
      <c r="CF154" s="81" t="str">
        <f t="shared" si="39"/>
        <v>(VA) - PRINCE WILLIAM COUNTY</v>
      </c>
      <c r="CG154" s="59">
        <v>822375</v>
      </c>
      <c r="CH154" s="59"/>
      <c r="CI154" s="266" t="s">
        <v>1069</v>
      </c>
      <c r="CJ154" s="267" t="s">
        <v>953</v>
      </c>
      <c r="CK154" s="268">
        <v>891250</v>
      </c>
      <c r="CM154" s="43" t="str">
        <f t="shared" si="40"/>
        <v>(WA) - PIERCE COUNTY</v>
      </c>
      <c r="CN154" s="269">
        <f t="shared" si="38"/>
        <v>891250</v>
      </c>
      <c r="CO154" s="269"/>
      <c r="CQ154" s="263" t="s">
        <v>1059</v>
      </c>
      <c r="CR154" s="264" t="s">
        <v>855</v>
      </c>
      <c r="CS154" s="265">
        <v>1089300</v>
      </c>
      <c r="CV154" s="43" t="str">
        <f t="shared" si="47"/>
        <v>(VA) - FREDERICKSBURG CITY</v>
      </c>
      <c r="CW154" s="70">
        <f t="shared" si="48"/>
        <v>1089300</v>
      </c>
    </row>
    <row r="155" spans="6:101" ht="15.75" thickBot="1" x14ac:dyDescent="0.3">
      <c r="F155" s="43" t="s">
        <v>1070</v>
      </c>
      <c r="G155" s="58">
        <v>460000</v>
      </c>
      <c r="H155" s="58"/>
      <c r="I155" s="58"/>
      <c r="J155" s="58"/>
      <c r="K155" s="58"/>
      <c r="M155" s="58"/>
      <c r="AK155" s="72" t="s">
        <v>855</v>
      </c>
      <c r="AL155" s="73" t="s">
        <v>1071</v>
      </c>
      <c r="AM155" s="74" t="str">
        <f t="shared" si="43"/>
        <v>(VA) - FREDERICKSBURG</v>
      </c>
      <c r="AN155" s="75">
        <v>692500</v>
      </c>
      <c r="AP155" s="72" t="s">
        <v>908</v>
      </c>
      <c r="AQ155" s="73" t="s">
        <v>984</v>
      </c>
      <c r="AR155" s="74" t="str">
        <f t="shared" si="52"/>
        <v>(TN) - DICKSON</v>
      </c>
      <c r="AS155" s="75">
        <v>417500</v>
      </c>
      <c r="AU155" s="35" t="s">
        <v>908</v>
      </c>
      <c r="AV155" s="36" t="s">
        <v>984</v>
      </c>
      <c r="AW155" s="74" t="str">
        <f t="shared" si="50"/>
        <v>(TN) - DICKSON</v>
      </c>
      <c r="AX155" s="76">
        <v>425500</v>
      </c>
      <c r="AZ155" s="37" t="s">
        <v>908</v>
      </c>
      <c r="BA155" s="38" t="s">
        <v>984</v>
      </c>
      <c r="BB155" s="74" t="str">
        <f t="shared" si="51"/>
        <v>(TN) - DICKSON</v>
      </c>
      <c r="BC155" s="76">
        <v>437000</v>
      </c>
      <c r="BE155" s="39" t="s">
        <v>862</v>
      </c>
      <c r="BF155" s="40" t="s">
        <v>968</v>
      </c>
      <c r="BG155" s="41" t="str">
        <f t="shared" si="44"/>
        <v>(RI) - WASHINGTON</v>
      </c>
      <c r="BH155" s="77">
        <v>426650</v>
      </c>
      <c r="BK155" s="37" t="s">
        <v>842</v>
      </c>
      <c r="BL155" s="38" t="s">
        <v>1055</v>
      </c>
      <c r="BM155" s="43" t="str">
        <f t="shared" si="49"/>
        <v>(UT) - SALT LAKE</v>
      </c>
      <c r="BN155" s="76">
        <v>600300</v>
      </c>
      <c r="BQ155" s="38" t="s">
        <v>1072</v>
      </c>
      <c r="BR155" s="37" t="s">
        <v>855</v>
      </c>
      <c r="BS155" s="78" t="str">
        <f t="shared" si="45"/>
        <v>(VA) - CAROLINE</v>
      </c>
      <c r="BT155" s="79">
        <v>535900</v>
      </c>
      <c r="BW155" s="38" t="s">
        <v>1073</v>
      </c>
      <c r="BX155" s="37" t="s">
        <v>842</v>
      </c>
      <c r="BY155" s="78" t="str">
        <f t="shared" si="46"/>
        <v xml:space="preserve">(UT) - WEBER </v>
      </c>
      <c r="BZ155" s="80">
        <v>646300</v>
      </c>
      <c r="CC155" s="43" t="s">
        <v>1043</v>
      </c>
      <c r="CD155" s="43" t="s">
        <v>1026</v>
      </c>
      <c r="CE155" s="37" t="s">
        <v>855</v>
      </c>
      <c r="CF155" s="81" t="str">
        <f t="shared" si="39"/>
        <v>(VA) - RAPPAHANNOCK COUNTY</v>
      </c>
      <c r="CG155" s="59">
        <v>822375</v>
      </c>
      <c r="CH155" s="59"/>
      <c r="CI155" s="263" t="s">
        <v>1074</v>
      </c>
      <c r="CJ155" s="264" t="s">
        <v>953</v>
      </c>
      <c r="CK155" s="265">
        <v>891250</v>
      </c>
      <c r="CM155" s="43" t="str">
        <f t="shared" si="40"/>
        <v>(WA) - SNOHOMISH COUNTY</v>
      </c>
      <c r="CN155" s="269">
        <f t="shared" si="38"/>
        <v>891250</v>
      </c>
      <c r="CO155" s="269"/>
      <c r="CQ155" s="266" t="s">
        <v>1062</v>
      </c>
      <c r="CR155" s="267" t="s">
        <v>855</v>
      </c>
      <c r="CS155" s="268">
        <v>1089300</v>
      </c>
      <c r="CV155" s="43" t="str">
        <f t="shared" si="47"/>
        <v>(VA) - MANASSAS CITY</v>
      </c>
      <c r="CW155" s="70">
        <f t="shared" si="48"/>
        <v>1089300</v>
      </c>
    </row>
    <row r="156" spans="6:101" ht="15.75" thickBot="1" x14ac:dyDescent="0.3">
      <c r="F156" s="43" t="s">
        <v>1075</v>
      </c>
      <c r="G156" s="58">
        <v>566250</v>
      </c>
      <c r="H156" s="58"/>
      <c r="I156" s="58"/>
      <c r="J156" s="58"/>
      <c r="K156" s="58"/>
      <c r="M156" s="58"/>
      <c r="AK156" s="85" t="s">
        <v>855</v>
      </c>
      <c r="AL156" s="86" t="s">
        <v>1076</v>
      </c>
      <c r="AM156" s="74" t="str">
        <f t="shared" si="43"/>
        <v>(VA) - LANCASTER</v>
      </c>
      <c r="AN156" s="87">
        <v>475000</v>
      </c>
      <c r="AP156" s="72" t="s">
        <v>908</v>
      </c>
      <c r="AQ156" s="73" t="s">
        <v>988</v>
      </c>
      <c r="AR156" s="74" t="str">
        <f t="shared" si="52"/>
        <v>(TN) - HICKMAN</v>
      </c>
      <c r="AS156" s="75">
        <v>417500</v>
      </c>
      <c r="AU156" s="35" t="s">
        <v>908</v>
      </c>
      <c r="AV156" s="36" t="s">
        <v>988</v>
      </c>
      <c r="AW156" s="74" t="str">
        <f t="shared" si="50"/>
        <v>(TN) - HICKMAN</v>
      </c>
      <c r="AX156" s="76">
        <v>425500</v>
      </c>
      <c r="AZ156" s="37" t="s">
        <v>908</v>
      </c>
      <c r="BA156" s="38" t="s">
        <v>988</v>
      </c>
      <c r="BB156" s="74" t="str">
        <f t="shared" si="51"/>
        <v>(TN) - HICKMAN</v>
      </c>
      <c r="BC156" s="76">
        <v>437000</v>
      </c>
      <c r="BE156" s="39" t="s">
        <v>908</v>
      </c>
      <c r="BF156" s="40" t="s">
        <v>972</v>
      </c>
      <c r="BG156" s="41" t="str">
        <f t="shared" si="44"/>
        <v>(TN) - CANNON</v>
      </c>
      <c r="BH156" s="77">
        <v>466900</v>
      </c>
      <c r="BK156" s="37" t="s">
        <v>842</v>
      </c>
      <c r="BL156" s="38" t="s">
        <v>648</v>
      </c>
      <c r="BM156" s="43" t="str">
        <f t="shared" si="49"/>
        <v>(UT) - SUMMIT</v>
      </c>
      <c r="BN156" s="76">
        <v>679650</v>
      </c>
      <c r="BQ156" s="38" t="s">
        <v>1077</v>
      </c>
      <c r="BR156" s="37" t="s">
        <v>855</v>
      </c>
      <c r="BS156" s="78" t="str">
        <f t="shared" si="45"/>
        <v>(VA) - CHARLES CITY</v>
      </c>
      <c r="BT156" s="79">
        <v>535900</v>
      </c>
      <c r="BW156" s="38" t="s">
        <v>1078</v>
      </c>
      <c r="BX156" s="37" t="s">
        <v>855</v>
      </c>
      <c r="BY156" s="78" t="str">
        <f t="shared" si="46"/>
        <v xml:space="preserve">(VA) - AMELIA </v>
      </c>
      <c r="BZ156" s="80">
        <v>535900</v>
      </c>
      <c r="CC156" s="43" t="s">
        <v>1043</v>
      </c>
      <c r="CD156" s="43" t="s">
        <v>1031</v>
      </c>
      <c r="CE156" s="37" t="s">
        <v>855</v>
      </c>
      <c r="CF156" s="81" t="str">
        <f t="shared" si="39"/>
        <v>(VA) - SPOTSYLVANIA COUNTY</v>
      </c>
      <c r="CG156" s="59">
        <v>822375</v>
      </c>
      <c r="CH156" s="59"/>
      <c r="CI156" s="266" t="s">
        <v>627</v>
      </c>
      <c r="CJ156" s="267" t="s">
        <v>971</v>
      </c>
      <c r="CK156" s="268">
        <v>970800</v>
      </c>
      <c r="CM156" s="43" t="str">
        <f t="shared" si="40"/>
        <v>(WV) - JEFFERSON COUNTY</v>
      </c>
      <c r="CN156" s="269">
        <f t="shared" si="38"/>
        <v>970800</v>
      </c>
      <c r="CO156" s="269"/>
      <c r="CQ156" s="263" t="s">
        <v>1065</v>
      </c>
      <c r="CR156" s="264" t="s">
        <v>953</v>
      </c>
      <c r="CS156" s="265">
        <v>977500</v>
      </c>
      <c r="CV156" s="43" t="str">
        <f t="shared" si="47"/>
        <v>(VA) - MANASSAS PARK CITY</v>
      </c>
      <c r="CW156" s="70">
        <f t="shared" si="48"/>
        <v>1089300</v>
      </c>
    </row>
    <row r="157" spans="6:101" ht="15.75" thickBot="1" x14ac:dyDescent="0.3">
      <c r="F157" s="43" t="s">
        <v>1079</v>
      </c>
      <c r="G157" s="58">
        <v>460000</v>
      </c>
      <c r="H157" s="58"/>
      <c r="I157" s="58"/>
      <c r="J157" s="58"/>
      <c r="K157" s="58"/>
      <c r="M157" s="58"/>
      <c r="AK157" s="72" t="s">
        <v>855</v>
      </c>
      <c r="AL157" s="73" t="s">
        <v>1080</v>
      </c>
      <c r="AM157" s="74" t="str">
        <f t="shared" si="43"/>
        <v>(VA) - LOUDOUN</v>
      </c>
      <c r="AN157" s="75">
        <v>692500</v>
      </c>
      <c r="AP157" s="72" t="s">
        <v>908</v>
      </c>
      <c r="AQ157" s="73" t="s">
        <v>992</v>
      </c>
      <c r="AR157" s="74" t="str">
        <f t="shared" si="52"/>
        <v>(TN) - MACON</v>
      </c>
      <c r="AS157" s="75">
        <v>417500</v>
      </c>
      <c r="AU157" s="35" t="s">
        <v>908</v>
      </c>
      <c r="AV157" s="36" t="s">
        <v>992</v>
      </c>
      <c r="AW157" s="74" t="str">
        <f t="shared" si="50"/>
        <v>(TN) - MACON</v>
      </c>
      <c r="AX157" s="76">
        <v>425500</v>
      </c>
      <c r="AZ157" s="37" t="s">
        <v>908</v>
      </c>
      <c r="BA157" s="38" t="s">
        <v>992</v>
      </c>
      <c r="BB157" s="74" t="str">
        <f t="shared" si="51"/>
        <v>(TN) - MACON</v>
      </c>
      <c r="BC157" s="76">
        <v>437000</v>
      </c>
      <c r="BE157" s="39" t="s">
        <v>908</v>
      </c>
      <c r="BF157" s="40" t="s">
        <v>976</v>
      </c>
      <c r="BG157" s="41" t="str">
        <f t="shared" si="44"/>
        <v>(TN) - CHEATHAM</v>
      </c>
      <c r="BH157" s="77">
        <v>466900</v>
      </c>
      <c r="BK157" s="37" t="s">
        <v>842</v>
      </c>
      <c r="BL157" s="38" t="s">
        <v>1061</v>
      </c>
      <c r="BM157" s="43" t="str">
        <f t="shared" si="49"/>
        <v>(UT) - TOOELE</v>
      </c>
      <c r="BN157" s="76">
        <v>600300</v>
      </c>
      <c r="BQ157" s="38" t="s">
        <v>1081</v>
      </c>
      <c r="BR157" s="37" t="s">
        <v>855</v>
      </c>
      <c r="BS157" s="78" t="str">
        <f t="shared" si="45"/>
        <v>(VA) - CHESTERFIELD</v>
      </c>
      <c r="BT157" s="79">
        <v>535900</v>
      </c>
      <c r="BW157" s="38" t="s">
        <v>861</v>
      </c>
      <c r="BX157" s="37" t="s">
        <v>855</v>
      </c>
      <c r="BY157" s="78" t="str">
        <f t="shared" si="46"/>
        <v xml:space="preserve">(VA) - ARLINGTON </v>
      </c>
      <c r="BZ157" s="80">
        <v>765600</v>
      </c>
      <c r="CC157" s="43" t="s">
        <v>1043</v>
      </c>
      <c r="CD157" s="43" t="s">
        <v>1035</v>
      </c>
      <c r="CE157" s="37" t="s">
        <v>855</v>
      </c>
      <c r="CF157" s="81" t="str">
        <f t="shared" si="39"/>
        <v>(VA) - STAFFORD COUNTY</v>
      </c>
      <c r="CG157" s="59">
        <v>822375</v>
      </c>
      <c r="CH157" s="59"/>
      <c r="CI157" s="263" t="s">
        <v>704</v>
      </c>
      <c r="CJ157" s="264" t="s">
        <v>975</v>
      </c>
      <c r="CK157" s="265">
        <v>970800</v>
      </c>
      <c r="CM157" s="43" t="str">
        <f t="shared" si="40"/>
        <v>(WY) - TETON COUNTY</v>
      </c>
      <c r="CN157" s="269">
        <f t="shared" si="38"/>
        <v>970800</v>
      </c>
      <c r="CO157" s="269"/>
      <c r="CQ157" s="266" t="s">
        <v>1069</v>
      </c>
      <c r="CR157" s="267" t="s">
        <v>953</v>
      </c>
      <c r="CS157" s="268">
        <v>977500</v>
      </c>
      <c r="CV157" s="43" t="str">
        <f t="shared" si="47"/>
        <v>(WA) - KING COUNTY</v>
      </c>
      <c r="CW157" s="70">
        <f t="shared" si="48"/>
        <v>977500</v>
      </c>
    </row>
    <row r="158" spans="6:101" ht="15.75" thickBot="1" x14ac:dyDescent="0.3">
      <c r="F158" s="43" t="s">
        <v>1082</v>
      </c>
      <c r="G158" s="58">
        <v>460000</v>
      </c>
      <c r="H158" s="58"/>
      <c r="I158" s="58"/>
      <c r="J158" s="58"/>
      <c r="K158" s="58"/>
      <c r="M158" s="58"/>
      <c r="AK158" s="72" t="s">
        <v>855</v>
      </c>
      <c r="AL158" s="73" t="s">
        <v>1059</v>
      </c>
      <c r="AM158" s="74" t="str">
        <f t="shared" si="43"/>
        <v>(VA) - MANASSAS CITY</v>
      </c>
      <c r="AN158" s="75">
        <v>692500</v>
      </c>
      <c r="AP158" s="72" t="s">
        <v>908</v>
      </c>
      <c r="AQ158" s="73" t="s">
        <v>997</v>
      </c>
      <c r="AR158" s="74" t="str">
        <f t="shared" si="52"/>
        <v>(TN) - MAURY</v>
      </c>
      <c r="AS158" s="75">
        <v>417500</v>
      </c>
      <c r="AU158" s="35" t="s">
        <v>908</v>
      </c>
      <c r="AV158" s="36" t="s">
        <v>997</v>
      </c>
      <c r="AW158" s="74" t="str">
        <f t="shared" si="50"/>
        <v>(TN) - MAURY</v>
      </c>
      <c r="AX158" s="76">
        <v>425500</v>
      </c>
      <c r="AZ158" s="37" t="s">
        <v>908</v>
      </c>
      <c r="BA158" s="38" t="s">
        <v>997</v>
      </c>
      <c r="BB158" s="74" t="str">
        <f t="shared" si="51"/>
        <v>(TN) - MAURY</v>
      </c>
      <c r="BC158" s="76">
        <v>437000</v>
      </c>
      <c r="BE158" s="39" t="s">
        <v>908</v>
      </c>
      <c r="BF158" s="40" t="s">
        <v>979</v>
      </c>
      <c r="BG158" s="41" t="str">
        <f t="shared" si="44"/>
        <v>(TN) - DAVIDSON</v>
      </c>
      <c r="BH158" s="77">
        <v>466900</v>
      </c>
      <c r="BK158" s="37" t="s">
        <v>855</v>
      </c>
      <c r="BL158" s="38" t="s">
        <v>1064</v>
      </c>
      <c r="BM158" s="43" t="str">
        <f t="shared" si="49"/>
        <v>(VA) - AMELIA</v>
      </c>
      <c r="BN158" s="76">
        <v>535900</v>
      </c>
      <c r="BQ158" s="38" t="s">
        <v>1050</v>
      </c>
      <c r="BR158" s="37" t="s">
        <v>855</v>
      </c>
      <c r="BS158" s="78" t="str">
        <f t="shared" si="45"/>
        <v>(VA) - CLARKE</v>
      </c>
      <c r="BT158" s="79">
        <v>726525</v>
      </c>
      <c r="BW158" s="38" t="s">
        <v>1083</v>
      </c>
      <c r="BX158" s="37" t="s">
        <v>855</v>
      </c>
      <c r="BY158" s="78" t="str">
        <f t="shared" si="46"/>
        <v xml:space="preserve">(VA) - CAROLINE </v>
      </c>
      <c r="BZ158" s="80">
        <v>535900</v>
      </c>
      <c r="CC158" s="43" t="s">
        <v>1043</v>
      </c>
      <c r="CD158" s="43" t="s">
        <v>1038</v>
      </c>
      <c r="CE158" s="37" t="s">
        <v>855</v>
      </c>
      <c r="CF158" s="81" t="str">
        <f t="shared" si="39"/>
        <v>(VA) - WARREN COUNTY</v>
      </c>
      <c r="CG158" s="59">
        <v>822375</v>
      </c>
      <c r="CH158" s="59"/>
      <c r="CI158" s="266" t="s">
        <v>670</v>
      </c>
      <c r="CJ158" s="267" t="s">
        <v>572</v>
      </c>
      <c r="CK158" s="268">
        <v>970800</v>
      </c>
      <c r="CM158" s="43" t="str">
        <f t="shared" si="40"/>
        <v>(GU) - GUAM</v>
      </c>
      <c r="CN158" s="269">
        <f t="shared" si="38"/>
        <v>970800</v>
      </c>
      <c r="CO158" s="269"/>
      <c r="CQ158" s="263" t="s">
        <v>1074</v>
      </c>
      <c r="CR158" s="264" t="s">
        <v>953</v>
      </c>
      <c r="CS158" s="265">
        <v>977500</v>
      </c>
      <c r="CV158" s="43" t="str">
        <f t="shared" si="47"/>
        <v>(WA) - PIERCE COUNTY</v>
      </c>
      <c r="CW158" s="70">
        <f t="shared" si="48"/>
        <v>977500</v>
      </c>
    </row>
    <row r="159" spans="6:101" ht="15.75" thickBot="1" x14ac:dyDescent="0.3">
      <c r="F159" s="43" t="s">
        <v>1084</v>
      </c>
      <c r="G159" s="58">
        <v>566250</v>
      </c>
      <c r="H159" s="58"/>
      <c r="I159" s="58"/>
      <c r="J159" s="58"/>
      <c r="K159" s="58"/>
      <c r="M159" s="58"/>
      <c r="AK159" s="72" t="s">
        <v>855</v>
      </c>
      <c r="AL159" s="73" t="s">
        <v>1085</v>
      </c>
      <c r="AM159" s="74" t="str">
        <f t="shared" si="43"/>
        <v>(VA) - MANASSAS PARK C</v>
      </c>
      <c r="AN159" s="75">
        <v>692500</v>
      </c>
      <c r="AP159" s="72" t="s">
        <v>908</v>
      </c>
      <c r="AQ159" s="73" t="s">
        <v>1002</v>
      </c>
      <c r="AR159" s="74" t="str">
        <f t="shared" si="52"/>
        <v>(TN) - ROBERTSON</v>
      </c>
      <c r="AS159" s="75">
        <v>417500</v>
      </c>
      <c r="AU159" s="35" t="s">
        <v>908</v>
      </c>
      <c r="AV159" s="36" t="s">
        <v>1002</v>
      </c>
      <c r="AW159" s="74" t="str">
        <f t="shared" si="50"/>
        <v>(TN) - ROBERTSON</v>
      </c>
      <c r="AX159" s="76">
        <v>425500</v>
      </c>
      <c r="AZ159" s="37" t="s">
        <v>908</v>
      </c>
      <c r="BA159" s="38" t="s">
        <v>1002</v>
      </c>
      <c r="BB159" s="74" t="str">
        <f t="shared" si="51"/>
        <v>(TN) - ROBERTSON</v>
      </c>
      <c r="BC159" s="76">
        <v>437000</v>
      </c>
      <c r="BE159" s="39" t="s">
        <v>908</v>
      </c>
      <c r="BF159" s="40" t="s">
        <v>984</v>
      </c>
      <c r="BG159" s="41" t="str">
        <f t="shared" si="44"/>
        <v>(TN) - DICKSON</v>
      </c>
      <c r="BH159" s="77">
        <v>466900</v>
      </c>
      <c r="BK159" s="37" t="s">
        <v>855</v>
      </c>
      <c r="BL159" s="38" t="s">
        <v>1046</v>
      </c>
      <c r="BM159" s="43" t="str">
        <f t="shared" si="49"/>
        <v>(VA) - ARLINGTON</v>
      </c>
      <c r="BN159" s="76">
        <v>679650</v>
      </c>
      <c r="BQ159" s="38" t="s">
        <v>1054</v>
      </c>
      <c r="BR159" s="37" t="s">
        <v>855</v>
      </c>
      <c r="BS159" s="78" t="str">
        <f t="shared" si="45"/>
        <v>(VA) - CULPEPER</v>
      </c>
      <c r="BT159" s="79">
        <v>726525</v>
      </c>
      <c r="BW159" s="38" t="s">
        <v>1086</v>
      </c>
      <c r="BX159" s="37" t="s">
        <v>855</v>
      </c>
      <c r="BY159" s="78" t="str">
        <f t="shared" si="46"/>
        <v xml:space="preserve">(VA) - CHARLES CITY </v>
      </c>
      <c r="BZ159" s="80">
        <v>535900</v>
      </c>
      <c r="CC159" s="43" t="s">
        <v>1043</v>
      </c>
      <c r="CD159" s="43" t="s">
        <v>1041</v>
      </c>
      <c r="CE159" s="37" t="s">
        <v>855</v>
      </c>
      <c r="CF159" s="81" t="str">
        <f t="shared" si="39"/>
        <v>(VA) - ALEXANDRIA CITY</v>
      </c>
      <c r="CG159" s="59">
        <v>822375</v>
      </c>
      <c r="CH159" s="59"/>
      <c r="CI159" s="263" t="s">
        <v>1087</v>
      </c>
      <c r="CJ159" s="264" t="s">
        <v>938</v>
      </c>
      <c r="CK159" s="265">
        <v>970800</v>
      </c>
      <c r="CM159" s="43" t="str">
        <f t="shared" si="40"/>
        <v>(VI) - ST. CROIX ISLAND</v>
      </c>
      <c r="CN159" s="269">
        <f t="shared" si="38"/>
        <v>970800</v>
      </c>
      <c r="CO159" s="269"/>
      <c r="CQ159" s="266" t="s">
        <v>627</v>
      </c>
      <c r="CR159" s="267" t="s">
        <v>971</v>
      </c>
      <c r="CS159" s="268">
        <v>1089300</v>
      </c>
      <c r="CV159" s="43" t="str">
        <f t="shared" si="47"/>
        <v>(WA) - SNOHOMISH COUNTY</v>
      </c>
      <c r="CW159" s="70">
        <f t="shared" si="48"/>
        <v>977500</v>
      </c>
    </row>
    <row r="160" spans="6:101" ht="15.75" thickBot="1" x14ac:dyDescent="0.3">
      <c r="F160" s="43" t="s">
        <v>1088</v>
      </c>
      <c r="G160" s="58">
        <v>460000</v>
      </c>
      <c r="H160" s="58"/>
      <c r="I160" s="58"/>
      <c r="J160" s="58"/>
      <c r="K160" s="58"/>
      <c r="M160" s="58"/>
      <c r="AK160" s="72" t="s">
        <v>855</v>
      </c>
      <c r="AL160" s="73" t="s">
        <v>1089</v>
      </c>
      <c r="AM160" s="74" t="str">
        <f t="shared" si="43"/>
        <v>(VA) - PRINCE WILLIAM</v>
      </c>
      <c r="AN160" s="75">
        <v>692500</v>
      </c>
      <c r="AP160" s="72" t="s">
        <v>908</v>
      </c>
      <c r="AQ160" s="73" t="s">
        <v>1009</v>
      </c>
      <c r="AR160" s="74" t="str">
        <f t="shared" si="52"/>
        <v>(TN) - RUTHERFORD</v>
      </c>
      <c r="AS160" s="75">
        <v>417500</v>
      </c>
      <c r="AU160" s="35" t="s">
        <v>908</v>
      </c>
      <c r="AV160" s="36" t="s">
        <v>1009</v>
      </c>
      <c r="AW160" s="74" t="str">
        <f t="shared" si="50"/>
        <v>(TN) - RUTHERFORD</v>
      </c>
      <c r="AX160" s="76">
        <v>425500</v>
      </c>
      <c r="AZ160" s="37" t="s">
        <v>908</v>
      </c>
      <c r="BA160" s="38" t="s">
        <v>1009</v>
      </c>
      <c r="BB160" s="74" t="str">
        <f t="shared" si="51"/>
        <v>(TN) - RUTHERFORD</v>
      </c>
      <c r="BC160" s="76">
        <v>437000</v>
      </c>
      <c r="BE160" s="39" t="s">
        <v>908</v>
      </c>
      <c r="BF160" s="40" t="s">
        <v>988</v>
      </c>
      <c r="BG160" s="41" t="str">
        <f t="shared" si="44"/>
        <v>(TN) - HICKMAN</v>
      </c>
      <c r="BH160" s="77">
        <v>466900</v>
      </c>
      <c r="BK160" s="37" t="s">
        <v>855</v>
      </c>
      <c r="BL160" s="38" t="s">
        <v>1072</v>
      </c>
      <c r="BM160" s="43" t="str">
        <f t="shared" si="49"/>
        <v>(VA) - CAROLINE</v>
      </c>
      <c r="BN160" s="76">
        <v>535900</v>
      </c>
      <c r="BQ160" s="38" t="s">
        <v>1090</v>
      </c>
      <c r="BR160" s="37" t="s">
        <v>855</v>
      </c>
      <c r="BS160" s="78" t="str">
        <f t="shared" si="45"/>
        <v>(VA) - CUMBERLAND</v>
      </c>
      <c r="BT160" s="79">
        <v>535900</v>
      </c>
      <c r="BW160" s="38" t="s">
        <v>1091</v>
      </c>
      <c r="BX160" s="37" t="s">
        <v>855</v>
      </c>
      <c r="BY160" s="78" t="str">
        <f t="shared" si="46"/>
        <v xml:space="preserve">(VA) - CHESTERFIELD </v>
      </c>
      <c r="BZ160" s="80">
        <v>535900</v>
      </c>
      <c r="CC160" s="43" t="s">
        <v>1043</v>
      </c>
      <c r="CD160" s="43" t="s">
        <v>1048</v>
      </c>
      <c r="CE160" s="37" t="s">
        <v>855</v>
      </c>
      <c r="CF160" s="81" t="str">
        <f t="shared" si="39"/>
        <v>(VA) - FAIRFAX CITY</v>
      </c>
      <c r="CG160" s="59">
        <v>822375</v>
      </c>
      <c r="CH160" s="59"/>
      <c r="CI160" s="266" t="s">
        <v>1092</v>
      </c>
      <c r="CJ160" s="267" t="s">
        <v>938</v>
      </c>
      <c r="CK160" s="268">
        <v>970800</v>
      </c>
      <c r="CM160" s="43" t="str">
        <f t="shared" si="40"/>
        <v>(VI) - ST. JOHN ISLAND</v>
      </c>
      <c r="CN160" s="269">
        <f t="shared" si="38"/>
        <v>970800</v>
      </c>
      <c r="CO160" s="269"/>
      <c r="CQ160" s="263" t="s">
        <v>704</v>
      </c>
      <c r="CR160" s="264" t="s">
        <v>975</v>
      </c>
      <c r="CS160" s="265">
        <v>1089300</v>
      </c>
      <c r="CV160" s="43" t="str">
        <f t="shared" si="47"/>
        <v>(WV) - JEFFERSON COUNTY</v>
      </c>
      <c r="CW160" s="70">
        <f t="shared" si="48"/>
        <v>1089300</v>
      </c>
    </row>
    <row r="161" spans="6:101" ht="15.75" thickBot="1" x14ac:dyDescent="0.3">
      <c r="F161" s="43" t="s">
        <v>1093</v>
      </c>
      <c r="G161" s="58">
        <v>460000</v>
      </c>
      <c r="H161" s="58"/>
      <c r="I161" s="58"/>
      <c r="J161" s="58"/>
      <c r="K161" s="58"/>
      <c r="M161" s="58"/>
      <c r="AK161" s="85" t="s">
        <v>855</v>
      </c>
      <c r="AL161" s="86" t="s">
        <v>1094</v>
      </c>
      <c r="AM161" s="74" t="str">
        <f t="shared" si="43"/>
        <v>(VA) - RAPPAHANNOCK</v>
      </c>
      <c r="AN161" s="87">
        <v>692500</v>
      </c>
      <c r="AP161" s="72" t="s">
        <v>908</v>
      </c>
      <c r="AQ161" s="73" t="s">
        <v>1013</v>
      </c>
      <c r="AR161" s="74" t="str">
        <f t="shared" si="52"/>
        <v>(TN) - SMITH</v>
      </c>
      <c r="AS161" s="75">
        <v>417500</v>
      </c>
      <c r="AU161" s="35" t="s">
        <v>908</v>
      </c>
      <c r="AV161" s="36" t="s">
        <v>1013</v>
      </c>
      <c r="AW161" s="74" t="str">
        <f t="shared" si="50"/>
        <v>(TN) - SMITH</v>
      </c>
      <c r="AX161" s="76">
        <v>425500</v>
      </c>
      <c r="AZ161" s="37" t="s">
        <v>908</v>
      </c>
      <c r="BA161" s="38" t="s">
        <v>1013</v>
      </c>
      <c r="BB161" s="74" t="str">
        <f t="shared" si="51"/>
        <v>(TN) - SMITH</v>
      </c>
      <c r="BC161" s="76">
        <v>437000</v>
      </c>
      <c r="BE161" s="39" t="s">
        <v>908</v>
      </c>
      <c r="BF161" s="40" t="s">
        <v>992</v>
      </c>
      <c r="BG161" s="41" t="str">
        <f t="shared" si="44"/>
        <v>(TN) - MACON</v>
      </c>
      <c r="BH161" s="77">
        <v>466900</v>
      </c>
      <c r="BK161" s="37" t="s">
        <v>855</v>
      </c>
      <c r="BL161" s="38" t="s">
        <v>1077</v>
      </c>
      <c r="BM161" s="43" t="str">
        <f t="shared" si="49"/>
        <v>(VA) - CHARLES CITY</v>
      </c>
      <c r="BN161" s="76">
        <v>535900</v>
      </c>
      <c r="BQ161" s="38" t="s">
        <v>1095</v>
      </c>
      <c r="BR161" s="37" t="s">
        <v>855</v>
      </c>
      <c r="BS161" s="78" t="str">
        <f t="shared" si="45"/>
        <v>(VA) - DINWIDDIE</v>
      </c>
      <c r="BT161" s="79">
        <v>535900</v>
      </c>
      <c r="BW161" s="38" t="s">
        <v>866</v>
      </c>
      <c r="BX161" s="37" t="s">
        <v>855</v>
      </c>
      <c r="BY161" s="78" t="str">
        <f t="shared" si="46"/>
        <v xml:space="preserve">(VA) - CLARKE </v>
      </c>
      <c r="BZ161" s="80">
        <v>765600</v>
      </c>
      <c r="CC161" s="43" t="s">
        <v>1043</v>
      </c>
      <c r="CD161" s="43" t="s">
        <v>1052</v>
      </c>
      <c r="CE161" s="37" t="s">
        <v>855</v>
      </c>
      <c r="CF161" s="81" t="str">
        <f t="shared" si="39"/>
        <v>(VA) - FALLS CHURCH CITY</v>
      </c>
      <c r="CG161" s="59">
        <v>822375</v>
      </c>
      <c r="CH161" s="59"/>
      <c r="CI161" s="263" t="s">
        <v>1096</v>
      </c>
      <c r="CJ161" s="264" t="s">
        <v>938</v>
      </c>
      <c r="CK161" s="265">
        <v>970800</v>
      </c>
      <c r="CM161" s="43" t="str">
        <f t="shared" si="40"/>
        <v>(VI) - ST. THOMAS ISLAND</v>
      </c>
      <c r="CN161" s="269">
        <f t="shared" si="38"/>
        <v>970800</v>
      </c>
      <c r="CO161" s="269"/>
      <c r="CV161" s="43" t="str">
        <f t="shared" si="47"/>
        <v>(WY) - TETON COUNTY</v>
      </c>
      <c r="CW161" s="70">
        <f t="shared" si="48"/>
        <v>1089300</v>
      </c>
    </row>
    <row r="162" spans="6:101" ht="15.75" thickBot="1" x14ac:dyDescent="0.3">
      <c r="F162" s="43" t="s">
        <v>1097</v>
      </c>
      <c r="G162" s="58">
        <v>566250</v>
      </c>
      <c r="H162" s="58"/>
      <c r="I162" s="58"/>
      <c r="J162" s="58"/>
      <c r="K162" s="58"/>
      <c r="M162" s="58"/>
      <c r="AK162" s="72" t="s">
        <v>855</v>
      </c>
      <c r="AL162" s="73" t="s">
        <v>1098</v>
      </c>
      <c r="AM162" s="74" t="str">
        <f t="shared" si="43"/>
        <v>(VA) - SPOTSYLVANIA</v>
      </c>
      <c r="AN162" s="75">
        <v>692500</v>
      </c>
      <c r="AP162" s="72" t="s">
        <v>908</v>
      </c>
      <c r="AQ162" s="73" t="s">
        <v>1019</v>
      </c>
      <c r="AR162" s="74" t="str">
        <f t="shared" si="52"/>
        <v>(TN) - SUMNER</v>
      </c>
      <c r="AS162" s="75">
        <v>417500</v>
      </c>
      <c r="AU162" s="35" t="s">
        <v>908</v>
      </c>
      <c r="AV162" s="36" t="s">
        <v>1019</v>
      </c>
      <c r="AW162" s="74" t="str">
        <f t="shared" si="50"/>
        <v>(TN) - SUMNER</v>
      </c>
      <c r="AX162" s="76">
        <v>425500</v>
      </c>
      <c r="AZ162" s="37" t="s">
        <v>908</v>
      </c>
      <c r="BA162" s="38" t="s">
        <v>1019</v>
      </c>
      <c r="BB162" s="74" t="str">
        <f t="shared" si="51"/>
        <v>(TN) - SUMNER</v>
      </c>
      <c r="BC162" s="76">
        <v>437000</v>
      </c>
      <c r="BE162" s="39" t="s">
        <v>908</v>
      </c>
      <c r="BF162" s="40" t="s">
        <v>997</v>
      </c>
      <c r="BG162" s="41" t="str">
        <f t="shared" si="44"/>
        <v>(TN) - MAURY</v>
      </c>
      <c r="BH162" s="77">
        <v>466900</v>
      </c>
      <c r="BK162" s="37" t="s">
        <v>855</v>
      </c>
      <c r="BL162" s="38" t="s">
        <v>1081</v>
      </c>
      <c r="BM162" s="43" t="str">
        <f t="shared" si="49"/>
        <v>(VA) - CHESTERFIELD</v>
      </c>
      <c r="BN162" s="76">
        <v>535900</v>
      </c>
      <c r="BQ162" s="38" t="s">
        <v>1099</v>
      </c>
      <c r="BR162" s="37" t="s">
        <v>855</v>
      </c>
      <c r="BS162" s="78" t="str">
        <f t="shared" si="45"/>
        <v>(VA) - FAIRFAX</v>
      </c>
      <c r="BT162" s="79">
        <v>726525</v>
      </c>
      <c r="BW162" s="38" t="s">
        <v>1100</v>
      </c>
      <c r="BX162" s="37" t="s">
        <v>855</v>
      </c>
      <c r="BY162" s="78" t="str">
        <f t="shared" si="46"/>
        <v xml:space="preserve">(VA) - CULPEPER </v>
      </c>
      <c r="BZ162" s="80">
        <v>765600</v>
      </c>
      <c r="CC162" s="43" t="s">
        <v>1043</v>
      </c>
      <c r="CD162" s="43" t="s">
        <v>1057</v>
      </c>
      <c r="CE162" s="37" t="s">
        <v>855</v>
      </c>
      <c r="CF162" s="81" t="str">
        <f t="shared" si="39"/>
        <v>(VA) - FREDERICKSBURG CITY</v>
      </c>
      <c r="CG162" s="59">
        <v>822375</v>
      </c>
      <c r="CH162" s="59"/>
      <c r="CI162" s="59"/>
    </row>
    <row r="163" spans="6:101" ht="15.75" thickBot="1" x14ac:dyDescent="0.3">
      <c r="F163" s="43" t="s">
        <v>1101</v>
      </c>
      <c r="G163" s="58">
        <v>566250</v>
      </c>
      <c r="H163" s="58"/>
      <c r="I163" s="58"/>
      <c r="J163" s="58"/>
      <c r="K163" s="58"/>
      <c r="M163" s="58"/>
      <c r="AK163" s="72" t="s">
        <v>855</v>
      </c>
      <c r="AL163" s="73" t="s">
        <v>1102</v>
      </c>
      <c r="AM163" s="74" t="str">
        <f t="shared" si="43"/>
        <v>(VA) - STAFFORD</v>
      </c>
      <c r="AN163" s="75">
        <v>692500</v>
      </c>
      <c r="AP163" s="72" t="s">
        <v>908</v>
      </c>
      <c r="AQ163" s="73" t="s">
        <v>1024</v>
      </c>
      <c r="AR163" s="74" t="str">
        <f t="shared" si="52"/>
        <v>(TN) - TROUSDALE</v>
      </c>
      <c r="AS163" s="75">
        <v>417500</v>
      </c>
      <c r="AU163" s="35" t="s">
        <v>908</v>
      </c>
      <c r="AV163" s="36" t="s">
        <v>1024</v>
      </c>
      <c r="AW163" s="74" t="str">
        <f t="shared" si="50"/>
        <v>(TN) - TROUSDALE</v>
      </c>
      <c r="AX163" s="76">
        <v>425500</v>
      </c>
      <c r="AZ163" s="37" t="s">
        <v>908</v>
      </c>
      <c r="BA163" s="38" t="s">
        <v>1024</v>
      </c>
      <c r="BB163" s="74" t="str">
        <f t="shared" si="51"/>
        <v>(TN) - TROUSDALE</v>
      </c>
      <c r="BC163" s="76">
        <v>437000</v>
      </c>
      <c r="BE163" s="39" t="s">
        <v>908</v>
      </c>
      <c r="BF163" s="40" t="s">
        <v>1002</v>
      </c>
      <c r="BG163" s="41" t="str">
        <f t="shared" si="44"/>
        <v>(TN) - ROBERTSON</v>
      </c>
      <c r="BH163" s="77">
        <v>466900</v>
      </c>
      <c r="BK163" s="37" t="s">
        <v>855</v>
      </c>
      <c r="BL163" s="38" t="s">
        <v>1050</v>
      </c>
      <c r="BM163" s="43" t="str">
        <f t="shared" si="49"/>
        <v>(VA) - CLARKE</v>
      </c>
      <c r="BN163" s="76">
        <v>679650</v>
      </c>
      <c r="BQ163" s="38" t="s">
        <v>1067</v>
      </c>
      <c r="BR163" s="37" t="s">
        <v>855</v>
      </c>
      <c r="BS163" s="78" t="str">
        <f t="shared" si="45"/>
        <v>(VA) - FAUQUIER</v>
      </c>
      <c r="BT163" s="79">
        <v>726525</v>
      </c>
      <c r="BW163" s="38" t="s">
        <v>1103</v>
      </c>
      <c r="BX163" s="37" t="s">
        <v>855</v>
      </c>
      <c r="BY163" s="78" t="str">
        <f t="shared" si="46"/>
        <v xml:space="preserve">(VA) - CUMBERLAND </v>
      </c>
      <c r="BZ163" s="80">
        <v>535900</v>
      </c>
      <c r="CC163" s="43" t="s">
        <v>1043</v>
      </c>
      <c r="CD163" s="43" t="s">
        <v>1059</v>
      </c>
      <c r="CE163" s="37" t="s">
        <v>855</v>
      </c>
      <c r="CF163" s="81" t="str">
        <f t="shared" si="39"/>
        <v>(VA) - MANASSAS CITY</v>
      </c>
      <c r="CG163" s="59">
        <v>822375</v>
      </c>
      <c r="CH163" s="59"/>
      <c r="CI163" s="59"/>
    </row>
    <row r="164" spans="6:101" ht="15.75" thickBot="1" x14ac:dyDescent="0.3">
      <c r="F164" s="43" t="s">
        <v>1104</v>
      </c>
      <c r="G164" s="58">
        <v>768750</v>
      </c>
      <c r="H164" s="58"/>
      <c r="I164" s="58"/>
      <c r="J164" s="58"/>
      <c r="K164" s="58"/>
      <c r="M164" s="58"/>
      <c r="AK164" s="72" t="s">
        <v>855</v>
      </c>
      <c r="AL164" s="73" t="s">
        <v>1105</v>
      </c>
      <c r="AM164" s="74" t="str">
        <f t="shared" si="43"/>
        <v>(VA) - WARREN</v>
      </c>
      <c r="AN164" s="75">
        <v>692500</v>
      </c>
      <c r="AP164" s="72" t="s">
        <v>908</v>
      </c>
      <c r="AQ164" s="73" t="s">
        <v>1028</v>
      </c>
      <c r="AR164" s="74" t="str">
        <f t="shared" si="52"/>
        <v>(TN) - WILLIAMSON</v>
      </c>
      <c r="AS164" s="75">
        <v>417500</v>
      </c>
      <c r="AU164" s="35" t="s">
        <v>908</v>
      </c>
      <c r="AV164" s="36" t="s">
        <v>1028</v>
      </c>
      <c r="AW164" s="74" t="str">
        <f t="shared" si="50"/>
        <v>(TN) - WILLIAMSON</v>
      </c>
      <c r="AX164" s="76">
        <v>425500</v>
      </c>
      <c r="AZ164" s="37" t="s">
        <v>908</v>
      </c>
      <c r="BA164" s="38" t="s">
        <v>1028</v>
      </c>
      <c r="BB164" s="74" t="str">
        <f t="shared" si="51"/>
        <v>(TN) - WILLIAMSON</v>
      </c>
      <c r="BC164" s="76">
        <v>437000</v>
      </c>
      <c r="BE164" s="39" t="s">
        <v>908</v>
      </c>
      <c r="BF164" s="40" t="s">
        <v>1009</v>
      </c>
      <c r="BG164" s="41" t="str">
        <f t="shared" si="44"/>
        <v>(TN) - RUTHERFORD</v>
      </c>
      <c r="BH164" s="77">
        <v>466900</v>
      </c>
      <c r="BK164" s="37" t="s">
        <v>855</v>
      </c>
      <c r="BL164" s="38" t="s">
        <v>1054</v>
      </c>
      <c r="BM164" s="43" t="str">
        <f t="shared" si="49"/>
        <v>(VA) - CULPEPER</v>
      </c>
      <c r="BN164" s="76">
        <v>679650</v>
      </c>
      <c r="BQ164" s="38" t="s">
        <v>1106</v>
      </c>
      <c r="BR164" s="37" t="s">
        <v>855</v>
      </c>
      <c r="BS164" s="78" t="str">
        <f t="shared" si="45"/>
        <v>(VA) - GOOCHLAND</v>
      </c>
      <c r="BT164" s="79">
        <v>535900</v>
      </c>
      <c r="BW164" s="38" t="s">
        <v>1107</v>
      </c>
      <c r="BX164" s="37" t="s">
        <v>855</v>
      </c>
      <c r="BY164" s="78" t="str">
        <f t="shared" si="46"/>
        <v xml:space="preserve">(VA) - DINWIDDIE </v>
      </c>
      <c r="BZ164" s="80">
        <v>535900</v>
      </c>
      <c r="CC164" s="43" t="s">
        <v>1043</v>
      </c>
      <c r="CD164" s="43" t="s">
        <v>1062</v>
      </c>
      <c r="CE164" s="37" t="s">
        <v>855</v>
      </c>
      <c r="CF164" s="81" t="str">
        <f t="shared" si="39"/>
        <v>(VA) - MANASSAS PARK CITY</v>
      </c>
      <c r="CG164" s="59">
        <v>822375</v>
      </c>
      <c r="CH164" s="59"/>
      <c r="CI164" s="59"/>
    </row>
    <row r="165" spans="6:101" ht="15.75" thickBot="1" x14ac:dyDescent="0.3">
      <c r="F165" s="43" t="s">
        <v>1108</v>
      </c>
      <c r="G165" s="58">
        <v>566250</v>
      </c>
      <c r="H165" s="58"/>
      <c r="I165" s="58"/>
      <c r="J165" s="58"/>
      <c r="K165" s="58"/>
      <c r="M165" s="58"/>
      <c r="AK165" s="72" t="s">
        <v>938</v>
      </c>
      <c r="AL165" s="73" t="s">
        <v>1109</v>
      </c>
      <c r="AM165" s="74" t="str">
        <f t="shared" si="43"/>
        <v>(VI) - ST. CROIX ISLAN</v>
      </c>
      <c r="AN165" s="75">
        <v>625500</v>
      </c>
      <c r="AP165" s="72" t="s">
        <v>908</v>
      </c>
      <c r="AQ165" s="73" t="s">
        <v>1033</v>
      </c>
      <c r="AR165" s="74" t="str">
        <f t="shared" si="52"/>
        <v>(TN) - WILSON</v>
      </c>
      <c r="AS165" s="75">
        <v>417500</v>
      </c>
      <c r="AU165" s="35" t="s">
        <v>908</v>
      </c>
      <c r="AV165" s="36" t="s">
        <v>1033</v>
      </c>
      <c r="AW165" s="74" t="str">
        <f t="shared" si="50"/>
        <v>(TN) - WILSON</v>
      </c>
      <c r="AX165" s="76">
        <v>425500</v>
      </c>
      <c r="AZ165" s="37" t="s">
        <v>908</v>
      </c>
      <c r="BA165" s="38" t="s">
        <v>1033</v>
      </c>
      <c r="BB165" s="74" t="str">
        <f t="shared" si="51"/>
        <v>(TN) - WILSON</v>
      </c>
      <c r="BC165" s="76">
        <v>437000</v>
      </c>
      <c r="BE165" s="39" t="s">
        <v>908</v>
      </c>
      <c r="BF165" s="40" t="s">
        <v>1013</v>
      </c>
      <c r="BG165" s="41" t="str">
        <f t="shared" si="44"/>
        <v>(TN) - SMITH</v>
      </c>
      <c r="BH165" s="77">
        <v>466900</v>
      </c>
      <c r="BK165" s="37" t="s">
        <v>855</v>
      </c>
      <c r="BL165" s="38" t="s">
        <v>1090</v>
      </c>
      <c r="BM165" s="43" t="str">
        <f t="shared" si="49"/>
        <v>(VA) - CUMBERLAND</v>
      </c>
      <c r="BN165" s="76">
        <v>535900</v>
      </c>
      <c r="BQ165" s="38" t="s">
        <v>1110</v>
      </c>
      <c r="BR165" s="37" t="s">
        <v>855</v>
      </c>
      <c r="BS165" s="78" t="str">
        <f t="shared" si="45"/>
        <v>(VA) - HANOVER</v>
      </c>
      <c r="BT165" s="79">
        <v>535900</v>
      </c>
      <c r="BW165" s="38" t="s">
        <v>871</v>
      </c>
      <c r="BX165" s="37" t="s">
        <v>855</v>
      </c>
      <c r="BY165" s="78" t="str">
        <f t="shared" si="46"/>
        <v xml:space="preserve">(VA) - FAIRFAX </v>
      </c>
      <c r="BZ165" s="80">
        <v>765600</v>
      </c>
      <c r="CC165" s="43" t="s">
        <v>968</v>
      </c>
      <c r="CD165" s="43" t="s">
        <v>1065</v>
      </c>
      <c r="CE165" s="37" t="s">
        <v>953</v>
      </c>
      <c r="CF165" s="81" t="str">
        <f t="shared" si="39"/>
        <v>(WA) - KING COUNTY</v>
      </c>
      <c r="CG165" s="59">
        <v>776250</v>
      </c>
      <c r="CH165" s="59"/>
      <c r="CI165" s="59"/>
    </row>
    <row r="166" spans="6:101" ht="15.75" thickBot="1" x14ac:dyDescent="0.3">
      <c r="F166" s="43" t="s">
        <v>1111</v>
      </c>
      <c r="G166" s="58">
        <v>768750</v>
      </c>
      <c r="H166" s="58"/>
      <c r="I166" s="58"/>
      <c r="J166" s="58"/>
      <c r="K166" s="58"/>
      <c r="M166" s="58"/>
      <c r="AK166" s="72" t="s">
        <v>938</v>
      </c>
      <c r="AL166" s="73" t="s">
        <v>1092</v>
      </c>
      <c r="AM166" s="74" t="str">
        <f t="shared" si="43"/>
        <v>(VI) - ST. JOHN ISLAND</v>
      </c>
      <c r="AN166" s="75">
        <v>625500</v>
      </c>
      <c r="AP166" s="72" t="s">
        <v>842</v>
      </c>
      <c r="AQ166" s="73" t="s">
        <v>1055</v>
      </c>
      <c r="AR166" s="74" t="str">
        <f t="shared" si="52"/>
        <v>(UT) - SALT LAKE</v>
      </c>
      <c r="AS166" s="75">
        <v>600300</v>
      </c>
      <c r="AU166" s="35" t="s">
        <v>842</v>
      </c>
      <c r="AV166" s="36" t="s">
        <v>1055</v>
      </c>
      <c r="AW166" s="74" t="str">
        <f t="shared" si="50"/>
        <v>(UT) - SALT LAKE</v>
      </c>
      <c r="AX166" s="76">
        <v>600300</v>
      </c>
      <c r="AZ166" s="37" t="s">
        <v>842</v>
      </c>
      <c r="BA166" s="38" t="s">
        <v>1055</v>
      </c>
      <c r="BB166" s="74" t="str">
        <f t="shared" si="51"/>
        <v>(UT) - SALT LAKE</v>
      </c>
      <c r="BC166" s="76">
        <v>600300</v>
      </c>
      <c r="BE166" s="39" t="s">
        <v>908</v>
      </c>
      <c r="BF166" s="40" t="s">
        <v>1019</v>
      </c>
      <c r="BG166" s="41" t="str">
        <f t="shared" si="44"/>
        <v>(TN) - SUMNER</v>
      </c>
      <c r="BH166" s="77">
        <v>466900</v>
      </c>
      <c r="BK166" s="37" t="s">
        <v>855</v>
      </c>
      <c r="BL166" s="38" t="s">
        <v>1095</v>
      </c>
      <c r="BM166" s="43" t="str">
        <f t="shared" si="49"/>
        <v>(VA) - DINWIDDIE</v>
      </c>
      <c r="BN166" s="76">
        <v>535900</v>
      </c>
      <c r="BQ166" s="38" t="s">
        <v>1112</v>
      </c>
      <c r="BR166" s="37" t="s">
        <v>855</v>
      </c>
      <c r="BS166" s="78" t="str">
        <f t="shared" si="45"/>
        <v>(VA) - HENRICO</v>
      </c>
      <c r="BT166" s="79">
        <v>535900</v>
      </c>
      <c r="BW166" s="38" t="s">
        <v>890</v>
      </c>
      <c r="BX166" s="37" t="s">
        <v>855</v>
      </c>
      <c r="BY166" s="78" t="str">
        <f t="shared" si="46"/>
        <v xml:space="preserve">(VA) - FAUQUIER </v>
      </c>
      <c r="BZ166" s="80">
        <v>765600</v>
      </c>
      <c r="CC166" s="43" t="s">
        <v>968</v>
      </c>
      <c r="CD166" s="43" t="s">
        <v>1069</v>
      </c>
      <c r="CE166" s="37" t="s">
        <v>953</v>
      </c>
      <c r="CF166" s="81" t="str">
        <f t="shared" si="39"/>
        <v>(WA) - PIERCE COUNTY</v>
      </c>
      <c r="CG166" s="59">
        <v>776250</v>
      </c>
      <c r="CH166" s="59"/>
      <c r="CI166" s="59"/>
    </row>
    <row r="167" spans="6:101" ht="15.75" thickBot="1" x14ac:dyDescent="0.3">
      <c r="F167" s="43" t="s">
        <v>1113</v>
      </c>
      <c r="G167" s="58">
        <v>768750</v>
      </c>
      <c r="H167" s="58"/>
      <c r="I167" s="58"/>
      <c r="J167" s="58"/>
      <c r="K167" s="58"/>
      <c r="M167" s="58"/>
      <c r="AK167" s="72" t="s">
        <v>938</v>
      </c>
      <c r="AL167" s="73" t="s">
        <v>1114</v>
      </c>
      <c r="AM167" s="74" t="str">
        <f t="shared" si="43"/>
        <v>(VI) - ST. THOMAS ISLA</v>
      </c>
      <c r="AN167" s="75">
        <v>625500</v>
      </c>
      <c r="AP167" s="72" t="s">
        <v>842</v>
      </c>
      <c r="AQ167" s="73" t="s">
        <v>648</v>
      </c>
      <c r="AR167" s="74" t="str">
        <f t="shared" si="52"/>
        <v>(UT) - SUMMIT</v>
      </c>
      <c r="AS167" s="75">
        <v>606250</v>
      </c>
      <c r="AU167" s="35" t="s">
        <v>842</v>
      </c>
      <c r="AV167" s="36" t="s">
        <v>648</v>
      </c>
      <c r="AW167" s="74" t="str">
        <f t="shared" si="50"/>
        <v>(UT) - SUMMIT</v>
      </c>
      <c r="AX167" s="76">
        <v>600300</v>
      </c>
      <c r="AZ167" s="37" t="s">
        <v>842</v>
      </c>
      <c r="BA167" s="38" t="s">
        <v>648</v>
      </c>
      <c r="BB167" s="74" t="str">
        <f t="shared" si="51"/>
        <v>(UT) - SUMMIT</v>
      </c>
      <c r="BC167" s="76">
        <v>600300</v>
      </c>
      <c r="BE167" s="39" t="s">
        <v>908</v>
      </c>
      <c r="BF167" s="40" t="s">
        <v>1024</v>
      </c>
      <c r="BG167" s="41" t="str">
        <f t="shared" si="44"/>
        <v>(TN) - TROUSDALE</v>
      </c>
      <c r="BH167" s="77">
        <v>466900</v>
      </c>
      <c r="BK167" s="37" t="s">
        <v>855</v>
      </c>
      <c r="BL167" s="38" t="s">
        <v>1099</v>
      </c>
      <c r="BM167" s="43" t="str">
        <f t="shared" si="49"/>
        <v>(VA) - FAIRFAX</v>
      </c>
      <c r="BN167" s="76">
        <v>679650</v>
      </c>
      <c r="BQ167" s="38" t="s">
        <v>1115</v>
      </c>
      <c r="BR167" s="37" t="s">
        <v>855</v>
      </c>
      <c r="BS167" s="78" t="str">
        <f t="shared" si="45"/>
        <v>(VA) - KING AND QUEEN</v>
      </c>
      <c r="BT167" s="79">
        <v>535900</v>
      </c>
      <c r="BW167" s="38" t="s">
        <v>1116</v>
      </c>
      <c r="BX167" s="37" t="s">
        <v>855</v>
      </c>
      <c r="BY167" s="78" t="str">
        <f t="shared" si="46"/>
        <v xml:space="preserve">(VA) - GOOCHLAND </v>
      </c>
      <c r="BZ167" s="80">
        <v>535900</v>
      </c>
      <c r="CC167" s="43" t="s">
        <v>968</v>
      </c>
      <c r="CD167" s="43" t="s">
        <v>1074</v>
      </c>
      <c r="CE167" s="37" t="s">
        <v>953</v>
      </c>
      <c r="CF167" s="81" t="str">
        <f t="shared" si="39"/>
        <v>(WA) - SNOHOMISH COUNTY</v>
      </c>
      <c r="CG167" s="59">
        <v>776250</v>
      </c>
      <c r="CH167" s="59"/>
      <c r="CI167" s="59"/>
    </row>
    <row r="168" spans="6:101" ht="15.75" thickBot="1" x14ac:dyDescent="0.3">
      <c r="F168" s="43" t="s">
        <v>1117</v>
      </c>
      <c r="G168" s="58">
        <v>460000</v>
      </c>
      <c r="H168" s="58"/>
      <c r="I168" s="58"/>
      <c r="J168" s="58"/>
      <c r="K168" s="58"/>
      <c r="M168" s="58"/>
      <c r="AK168" s="72" t="s">
        <v>953</v>
      </c>
      <c r="AL168" s="73" t="s">
        <v>1118</v>
      </c>
      <c r="AM168" s="74" t="str">
        <f t="shared" si="43"/>
        <v>(WA) - KING</v>
      </c>
      <c r="AN168" s="75">
        <v>505000</v>
      </c>
      <c r="AP168" s="72" t="s">
        <v>842</v>
      </c>
      <c r="AQ168" s="73" t="s">
        <v>1061</v>
      </c>
      <c r="AR168" s="74" t="str">
        <f t="shared" si="52"/>
        <v>(UT) - TOOELE</v>
      </c>
      <c r="AS168" s="75">
        <v>600300</v>
      </c>
      <c r="AU168" s="35" t="s">
        <v>842</v>
      </c>
      <c r="AV168" s="36" t="s">
        <v>1061</v>
      </c>
      <c r="AW168" s="74" t="str">
        <f t="shared" si="50"/>
        <v>(UT) - TOOELE</v>
      </c>
      <c r="AX168" s="76">
        <v>600300</v>
      </c>
      <c r="AZ168" s="37" t="s">
        <v>842</v>
      </c>
      <c r="BA168" s="38" t="s">
        <v>1061</v>
      </c>
      <c r="BB168" s="74" t="str">
        <f t="shared" si="51"/>
        <v>(UT) - TOOELE</v>
      </c>
      <c r="BC168" s="76">
        <v>600300</v>
      </c>
      <c r="BE168" s="39" t="s">
        <v>908</v>
      </c>
      <c r="BF168" s="40" t="s">
        <v>1028</v>
      </c>
      <c r="BG168" s="41" t="str">
        <f t="shared" si="44"/>
        <v>(TN) - WILLIAMSON</v>
      </c>
      <c r="BH168" s="77">
        <v>466900</v>
      </c>
      <c r="BK168" s="37" t="s">
        <v>855</v>
      </c>
      <c r="BL168" s="38" t="s">
        <v>1067</v>
      </c>
      <c r="BM168" s="43" t="str">
        <f t="shared" si="49"/>
        <v>(VA) - FAUQUIER</v>
      </c>
      <c r="BN168" s="76">
        <v>679650</v>
      </c>
      <c r="BQ168" s="38" t="s">
        <v>1119</v>
      </c>
      <c r="BR168" s="37" t="s">
        <v>855</v>
      </c>
      <c r="BS168" s="78" t="str">
        <f t="shared" si="45"/>
        <v>(VA) - KING WILLIAM</v>
      </c>
      <c r="BT168" s="79">
        <v>535900</v>
      </c>
      <c r="BW168" s="38" t="s">
        <v>1120</v>
      </c>
      <c r="BX168" s="37" t="s">
        <v>855</v>
      </c>
      <c r="BY168" s="78" t="str">
        <f t="shared" si="46"/>
        <v xml:space="preserve">(VA) - HANOVER </v>
      </c>
      <c r="BZ168" s="80">
        <v>535900</v>
      </c>
      <c r="CC168" s="43" t="s">
        <v>1121</v>
      </c>
      <c r="CD168" s="43" t="s">
        <v>627</v>
      </c>
      <c r="CE168" s="37" t="s">
        <v>971</v>
      </c>
      <c r="CF168" s="81" t="str">
        <f t="shared" si="39"/>
        <v>(WV) - JEFFERSON COUNTY</v>
      </c>
      <c r="CG168" s="59">
        <v>822375</v>
      </c>
      <c r="CH168" s="59"/>
      <c r="CI168" s="59"/>
    </row>
    <row r="169" spans="6:101" ht="15.75" thickBot="1" x14ac:dyDescent="0.3">
      <c r="F169" s="43" t="s">
        <v>1122</v>
      </c>
      <c r="G169" s="58">
        <v>460000</v>
      </c>
      <c r="H169" s="58"/>
      <c r="I169" s="58"/>
      <c r="J169" s="58"/>
      <c r="K169" s="58"/>
      <c r="M169" s="58"/>
      <c r="AK169" s="82" t="s">
        <v>953</v>
      </c>
      <c r="AL169" s="83" t="s">
        <v>1123</v>
      </c>
      <c r="AM169" s="74" t="str">
        <f t="shared" si="43"/>
        <v>(WA) - PIERCE</v>
      </c>
      <c r="AN169" s="84">
        <v>505000</v>
      </c>
      <c r="AP169" s="72" t="s">
        <v>855</v>
      </c>
      <c r="AQ169" s="73" t="s">
        <v>1124</v>
      </c>
      <c r="AR169" s="74" t="str">
        <f t="shared" si="52"/>
        <v>(VA) - ALBEMARLE</v>
      </c>
      <c r="AS169" s="75">
        <v>437000</v>
      </c>
      <c r="AU169" s="35" t="s">
        <v>855</v>
      </c>
      <c r="AV169" s="36" t="s">
        <v>1124</v>
      </c>
      <c r="AW169" s="74" t="str">
        <f t="shared" si="50"/>
        <v>(VA) - ALBEMARLE</v>
      </c>
      <c r="AX169" s="76">
        <v>437000</v>
      </c>
      <c r="AZ169" s="37" t="s">
        <v>855</v>
      </c>
      <c r="BA169" s="38" t="s">
        <v>1124</v>
      </c>
      <c r="BB169" s="74" t="str">
        <f t="shared" si="51"/>
        <v>(VA) - ALBEMARLE</v>
      </c>
      <c r="BC169" s="76">
        <v>437000</v>
      </c>
      <c r="BE169" s="39" t="s">
        <v>908</v>
      </c>
      <c r="BF169" s="40" t="s">
        <v>1033</v>
      </c>
      <c r="BG169" s="41" t="str">
        <f t="shared" si="44"/>
        <v>(TN) - WILSON</v>
      </c>
      <c r="BH169" s="77">
        <v>466900</v>
      </c>
      <c r="BK169" s="37" t="s">
        <v>855</v>
      </c>
      <c r="BL169" s="38" t="s">
        <v>1125</v>
      </c>
      <c r="BM169" s="43" t="str">
        <f t="shared" si="49"/>
        <v>(VA) - GLOUCESTER</v>
      </c>
      <c r="BN169" s="76">
        <v>458850</v>
      </c>
      <c r="BQ169" s="38" t="s">
        <v>1080</v>
      </c>
      <c r="BR169" s="37" t="s">
        <v>855</v>
      </c>
      <c r="BS169" s="78" t="str">
        <f t="shared" si="45"/>
        <v>(VA) - LOUDOUN</v>
      </c>
      <c r="BT169" s="79">
        <v>726525</v>
      </c>
      <c r="BW169" s="38" t="s">
        <v>1126</v>
      </c>
      <c r="BX169" s="37" t="s">
        <v>855</v>
      </c>
      <c r="BY169" s="78" t="str">
        <f t="shared" si="46"/>
        <v xml:space="preserve">(VA) - HENRICO </v>
      </c>
      <c r="BZ169" s="80">
        <v>535900</v>
      </c>
      <c r="CC169" s="43" t="s">
        <v>1127</v>
      </c>
      <c r="CD169" s="43" t="s">
        <v>704</v>
      </c>
      <c r="CE169" s="37" t="s">
        <v>975</v>
      </c>
      <c r="CF169" s="81" t="str">
        <f t="shared" si="39"/>
        <v>(WY) - TETON COUNTY</v>
      </c>
      <c r="CG169" s="59">
        <v>822375</v>
      </c>
      <c r="CH169" s="59"/>
      <c r="CI169" s="59"/>
    </row>
    <row r="170" spans="6:101" ht="15.75" thickBot="1" x14ac:dyDescent="0.3">
      <c r="F170" s="43" t="s">
        <v>1128</v>
      </c>
      <c r="G170" s="58">
        <v>566250</v>
      </c>
      <c r="H170" s="58"/>
      <c r="I170" s="58"/>
      <c r="J170" s="58"/>
      <c r="K170" s="58"/>
      <c r="M170" s="58"/>
      <c r="AK170" s="72" t="s">
        <v>953</v>
      </c>
      <c r="AL170" s="73" t="s">
        <v>1129</v>
      </c>
      <c r="AM170" s="74" t="str">
        <f t="shared" si="43"/>
        <v>(WA) - SAN JUAN</v>
      </c>
      <c r="AN170" s="75">
        <v>425000</v>
      </c>
      <c r="AP170" s="72" t="s">
        <v>855</v>
      </c>
      <c r="AQ170" s="73" t="s">
        <v>1041</v>
      </c>
      <c r="AR170" s="74" t="str">
        <f t="shared" si="52"/>
        <v>(VA) - ALEXANDRIA CITY</v>
      </c>
      <c r="AS170" s="75">
        <v>692500</v>
      </c>
      <c r="AU170" s="35" t="s">
        <v>855</v>
      </c>
      <c r="AV170" s="36" t="s">
        <v>1064</v>
      </c>
      <c r="AW170" s="74" t="str">
        <f t="shared" si="50"/>
        <v>(VA) - AMELIA</v>
      </c>
      <c r="AX170" s="76">
        <v>535900</v>
      </c>
      <c r="AZ170" s="37" t="s">
        <v>855</v>
      </c>
      <c r="BA170" s="38" t="s">
        <v>1064</v>
      </c>
      <c r="BB170" s="74" t="str">
        <f t="shared" si="51"/>
        <v>(VA) - AMELIA</v>
      </c>
      <c r="BC170" s="76">
        <v>535900</v>
      </c>
      <c r="BE170" s="39" t="s">
        <v>842</v>
      </c>
      <c r="BF170" s="40" t="s">
        <v>1055</v>
      </c>
      <c r="BG170" s="41" t="str">
        <f t="shared" si="44"/>
        <v>(UT) - SALT LAKE</v>
      </c>
      <c r="BH170" s="77">
        <v>600300</v>
      </c>
      <c r="BK170" s="37" t="s">
        <v>855</v>
      </c>
      <c r="BL170" s="38" t="s">
        <v>1106</v>
      </c>
      <c r="BM170" s="43" t="str">
        <f t="shared" si="49"/>
        <v>(VA) - GOOCHLAND</v>
      </c>
      <c r="BN170" s="76">
        <v>535900</v>
      </c>
      <c r="BQ170" s="38" t="s">
        <v>1130</v>
      </c>
      <c r="BR170" s="37" t="s">
        <v>855</v>
      </c>
      <c r="BS170" s="78" t="str">
        <f t="shared" si="45"/>
        <v>(VA) - LOUISA</v>
      </c>
      <c r="BT170" s="79">
        <v>535900</v>
      </c>
      <c r="BW170" s="38" t="s">
        <v>1131</v>
      </c>
      <c r="BX170" s="37" t="s">
        <v>855</v>
      </c>
      <c r="BY170" s="78" t="str">
        <f t="shared" si="46"/>
        <v xml:space="preserve">(VA) - KING AND QUEEN </v>
      </c>
      <c r="BZ170" s="80">
        <v>535900</v>
      </c>
    </row>
    <row r="171" spans="6:101" ht="15.75" thickBot="1" x14ac:dyDescent="0.3">
      <c r="F171" s="43" t="s">
        <v>1132</v>
      </c>
      <c r="G171" s="58">
        <v>460000</v>
      </c>
      <c r="H171" s="58"/>
      <c r="I171" s="58"/>
      <c r="J171" s="58"/>
      <c r="K171" s="58"/>
      <c r="M171" s="58"/>
      <c r="AK171" s="72" t="s">
        <v>953</v>
      </c>
      <c r="AL171" s="73" t="s">
        <v>1133</v>
      </c>
      <c r="AM171" s="74" t="str">
        <f t="shared" si="43"/>
        <v>(WA) - SNOHOMISH</v>
      </c>
      <c r="AN171" s="75">
        <v>505000</v>
      </c>
      <c r="AP171" s="72" t="s">
        <v>855</v>
      </c>
      <c r="AQ171" s="73" t="s">
        <v>1064</v>
      </c>
      <c r="AR171" s="74" t="str">
        <f t="shared" si="52"/>
        <v>(VA) - AMELIA</v>
      </c>
      <c r="AS171" s="75">
        <v>535900</v>
      </c>
      <c r="AU171" s="35" t="s">
        <v>855</v>
      </c>
      <c r="AV171" s="36" t="s">
        <v>1046</v>
      </c>
      <c r="AW171" s="74" t="str">
        <f t="shared" si="50"/>
        <v>(VA) - ARLINGTON</v>
      </c>
      <c r="AX171" s="76">
        <v>625500</v>
      </c>
      <c r="AZ171" s="37" t="s">
        <v>855</v>
      </c>
      <c r="BA171" s="38" t="s">
        <v>1046</v>
      </c>
      <c r="BB171" s="74" t="str">
        <f t="shared" si="51"/>
        <v>(VA) - ARLINGTON</v>
      </c>
      <c r="BC171" s="76">
        <v>625500</v>
      </c>
      <c r="BE171" s="39" t="s">
        <v>842</v>
      </c>
      <c r="BF171" s="40" t="s">
        <v>648</v>
      </c>
      <c r="BG171" s="41" t="str">
        <f t="shared" si="44"/>
        <v>(UT) - SUMMIT</v>
      </c>
      <c r="BH171" s="77">
        <v>636150</v>
      </c>
      <c r="BK171" s="37" t="s">
        <v>855</v>
      </c>
      <c r="BL171" s="38" t="s">
        <v>1110</v>
      </c>
      <c r="BM171" s="43" t="str">
        <f t="shared" si="49"/>
        <v>(VA) - HANOVER</v>
      </c>
      <c r="BN171" s="76">
        <v>535900</v>
      </c>
      <c r="BQ171" s="38" t="s">
        <v>1134</v>
      </c>
      <c r="BR171" s="37" t="s">
        <v>855</v>
      </c>
      <c r="BS171" s="78" t="str">
        <f t="shared" si="45"/>
        <v>(VA) - NEW KENT</v>
      </c>
      <c r="BT171" s="79">
        <v>535900</v>
      </c>
      <c r="BW171" s="38" t="s">
        <v>1135</v>
      </c>
      <c r="BX171" s="37" t="s">
        <v>855</v>
      </c>
      <c r="BY171" s="78" t="str">
        <f t="shared" si="46"/>
        <v xml:space="preserve">(VA) - KING WILLIAM </v>
      </c>
      <c r="BZ171" s="80">
        <v>535900</v>
      </c>
    </row>
    <row r="172" spans="6:101" ht="15.75" thickBot="1" x14ac:dyDescent="0.3">
      <c r="F172" s="43" t="s">
        <v>1136</v>
      </c>
      <c r="G172" s="58">
        <v>768750</v>
      </c>
      <c r="H172" s="58"/>
      <c r="I172" s="58"/>
      <c r="J172" s="58"/>
      <c r="K172" s="58"/>
      <c r="M172" s="58"/>
      <c r="AK172" s="72" t="s">
        <v>971</v>
      </c>
      <c r="AL172" s="73" t="s">
        <v>625</v>
      </c>
      <c r="AM172" s="74" t="str">
        <f t="shared" si="43"/>
        <v>(WV) - JEFFERSON</v>
      </c>
      <c r="AN172" s="75">
        <v>692500</v>
      </c>
      <c r="AP172" s="72" t="s">
        <v>855</v>
      </c>
      <c r="AQ172" s="73" t="s">
        <v>1046</v>
      </c>
      <c r="AR172" s="74" t="str">
        <f t="shared" si="52"/>
        <v>(VA) - ARLINGTON</v>
      </c>
      <c r="AS172" s="75">
        <v>692500</v>
      </c>
      <c r="AU172" s="35" t="s">
        <v>855</v>
      </c>
      <c r="AV172" s="36" t="s">
        <v>1137</v>
      </c>
      <c r="AW172" s="74" t="str">
        <f t="shared" si="50"/>
        <v>(VA) - BUCKINGHAM</v>
      </c>
      <c r="AX172" s="76">
        <v>437000</v>
      </c>
      <c r="AZ172" s="37" t="s">
        <v>855</v>
      </c>
      <c r="BA172" s="38" t="s">
        <v>1137</v>
      </c>
      <c r="BB172" s="74" t="str">
        <f t="shared" si="51"/>
        <v>(VA) - BUCKINGHAM</v>
      </c>
      <c r="BC172" s="76">
        <v>437000</v>
      </c>
      <c r="BE172" s="39" t="s">
        <v>842</v>
      </c>
      <c r="BF172" s="40" t="s">
        <v>1061</v>
      </c>
      <c r="BG172" s="41" t="str">
        <f t="shared" si="44"/>
        <v>(UT) - TOOELE</v>
      </c>
      <c r="BH172" s="77">
        <v>600300</v>
      </c>
      <c r="BK172" s="37" t="s">
        <v>855</v>
      </c>
      <c r="BL172" s="38" t="s">
        <v>1112</v>
      </c>
      <c r="BM172" s="43" t="str">
        <f t="shared" si="49"/>
        <v>(VA) - HENRICO</v>
      </c>
      <c r="BN172" s="76">
        <v>535900</v>
      </c>
      <c r="BQ172" s="38" t="s">
        <v>1138</v>
      </c>
      <c r="BR172" s="37" t="s">
        <v>855</v>
      </c>
      <c r="BS172" s="78" t="str">
        <f t="shared" si="45"/>
        <v>(VA) - POWHATAN</v>
      </c>
      <c r="BT172" s="79">
        <v>535900</v>
      </c>
      <c r="BW172" s="38" t="s">
        <v>899</v>
      </c>
      <c r="BX172" s="37" t="s">
        <v>855</v>
      </c>
      <c r="BY172" s="78" t="str">
        <f t="shared" si="46"/>
        <v xml:space="preserve">(VA) - LOUDOUN </v>
      </c>
      <c r="BZ172" s="80">
        <v>765600</v>
      </c>
    </row>
    <row r="173" spans="6:101" ht="15.75" thickBot="1" x14ac:dyDescent="0.3">
      <c r="F173" s="43" t="s">
        <v>1139</v>
      </c>
      <c r="G173" s="58">
        <v>460000</v>
      </c>
      <c r="H173" s="58"/>
      <c r="I173" s="58"/>
      <c r="J173" s="58"/>
      <c r="K173" s="58"/>
      <c r="M173" s="58"/>
      <c r="AK173" s="72" t="s">
        <v>975</v>
      </c>
      <c r="AL173" s="73" t="s">
        <v>746</v>
      </c>
      <c r="AM173" s="74" t="str">
        <f t="shared" si="43"/>
        <v>(WY) - TETON</v>
      </c>
      <c r="AN173" s="75">
        <v>630000</v>
      </c>
      <c r="AP173" s="72" t="s">
        <v>855</v>
      </c>
      <c r="AQ173" s="73" t="s">
        <v>1137</v>
      </c>
      <c r="AR173" s="74" t="str">
        <f t="shared" si="52"/>
        <v>(VA) - BUCKINGHAM</v>
      </c>
      <c r="AS173" s="75">
        <v>437000</v>
      </c>
      <c r="AU173" s="35" t="s">
        <v>855</v>
      </c>
      <c r="AV173" s="36" t="s">
        <v>1072</v>
      </c>
      <c r="AW173" s="74" t="str">
        <f t="shared" si="50"/>
        <v>(VA) - CAROLINE</v>
      </c>
      <c r="AX173" s="76">
        <v>535900</v>
      </c>
      <c r="AZ173" s="37" t="s">
        <v>855</v>
      </c>
      <c r="BA173" s="38" t="s">
        <v>1072</v>
      </c>
      <c r="BB173" s="74" t="str">
        <f t="shared" si="51"/>
        <v>(VA) - CAROLINE</v>
      </c>
      <c r="BC173" s="76">
        <v>535900</v>
      </c>
      <c r="BE173" s="39" t="s">
        <v>855</v>
      </c>
      <c r="BF173" s="40" t="s">
        <v>1124</v>
      </c>
      <c r="BG173" s="41" t="str">
        <f t="shared" si="44"/>
        <v>(VA) - ALBEMARLE</v>
      </c>
      <c r="BH173" s="77">
        <v>437000</v>
      </c>
      <c r="BK173" s="37" t="s">
        <v>855</v>
      </c>
      <c r="BL173" s="38" t="s">
        <v>1140</v>
      </c>
      <c r="BM173" s="43" t="str">
        <f t="shared" si="49"/>
        <v>(VA) - ISLE OF WIGHT</v>
      </c>
      <c r="BN173" s="76">
        <v>458850</v>
      </c>
      <c r="BQ173" s="38" t="s">
        <v>1141</v>
      </c>
      <c r="BR173" s="37" t="s">
        <v>855</v>
      </c>
      <c r="BS173" s="78" t="str">
        <f t="shared" si="45"/>
        <v>(VA) - PRINCE GEORGE</v>
      </c>
      <c r="BT173" s="79">
        <v>535900</v>
      </c>
      <c r="BW173" s="38" t="s">
        <v>1142</v>
      </c>
      <c r="BX173" s="37" t="s">
        <v>855</v>
      </c>
      <c r="BY173" s="78" t="str">
        <f t="shared" si="46"/>
        <v xml:space="preserve">(VA) - LOUISA </v>
      </c>
      <c r="BZ173" s="80">
        <v>535900</v>
      </c>
    </row>
    <row r="174" spans="6:101" ht="15.75" thickBot="1" x14ac:dyDescent="0.3">
      <c r="F174" s="43" t="s">
        <v>1143</v>
      </c>
      <c r="G174" s="58">
        <v>460000</v>
      </c>
      <c r="H174" s="58"/>
      <c r="I174" s="58"/>
      <c r="J174" s="58"/>
      <c r="K174" s="58"/>
      <c r="M174" s="58"/>
      <c r="AP174" s="72" t="s">
        <v>855</v>
      </c>
      <c r="AQ174" s="73" t="s">
        <v>1072</v>
      </c>
      <c r="AR174" s="74" t="str">
        <f t="shared" si="52"/>
        <v>(VA) - CAROLINE</v>
      </c>
      <c r="AS174" s="75">
        <v>535900</v>
      </c>
      <c r="AU174" s="35" t="s">
        <v>855</v>
      </c>
      <c r="AV174" s="36" t="s">
        <v>1077</v>
      </c>
      <c r="AW174" s="74" t="str">
        <f t="shared" si="50"/>
        <v>(VA) - CHARLES CITY</v>
      </c>
      <c r="AX174" s="76">
        <v>535900</v>
      </c>
      <c r="AZ174" s="37" t="s">
        <v>855</v>
      </c>
      <c r="BA174" s="38" t="s">
        <v>1077</v>
      </c>
      <c r="BB174" s="74" t="str">
        <f t="shared" si="51"/>
        <v>(VA) - CHARLES CITY</v>
      </c>
      <c r="BC174" s="76">
        <v>535900</v>
      </c>
      <c r="BE174" s="39" t="s">
        <v>855</v>
      </c>
      <c r="BF174" s="40" t="s">
        <v>1064</v>
      </c>
      <c r="BG174" s="41" t="str">
        <f t="shared" si="44"/>
        <v>(VA) - AMELIA</v>
      </c>
      <c r="BH174" s="77">
        <v>535900</v>
      </c>
      <c r="BK174" s="37" t="s">
        <v>855</v>
      </c>
      <c r="BL174" s="38" t="s">
        <v>1144</v>
      </c>
      <c r="BM174" s="43" t="str">
        <f t="shared" si="49"/>
        <v>(VA) - JAMES CITY</v>
      </c>
      <c r="BN174" s="76">
        <v>458850</v>
      </c>
      <c r="BQ174" s="38" t="s">
        <v>1089</v>
      </c>
      <c r="BR174" s="37" t="s">
        <v>855</v>
      </c>
      <c r="BS174" s="78" t="str">
        <f t="shared" si="45"/>
        <v>(VA) - PRINCE WILLIAM</v>
      </c>
      <c r="BT174" s="79">
        <v>726525</v>
      </c>
      <c r="BW174" s="38" t="s">
        <v>1145</v>
      </c>
      <c r="BX174" s="37" t="s">
        <v>855</v>
      </c>
      <c r="BY174" s="78" t="str">
        <f t="shared" si="46"/>
        <v xml:space="preserve">(VA) - MADISON </v>
      </c>
      <c r="BZ174" s="80">
        <v>765600</v>
      </c>
    </row>
    <row r="175" spans="6:101" ht="15.75" thickBot="1" x14ac:dyDescent="0.3">
      <c r="F175" s="43" t="s">
        <v>1146</v>
      </c>
      <c r="G175" s="58">
        <v>625500</v>
      </c>
      <c r="H175" s="58"/>
      <c r="I175" s="58"/>
      <c r="J175" s="58"/>
      <c r="K175" s="58"/>
      <c r="M175" s="58"/>
      <c r="AP175" s="72" t="s">
        <v>855</v>
      </c>
      <c r="AQ175" s="73" t="s">
        <v>1077</v>
      </c>
      <c r="AR175" s="74" t="str">
        <f t="shared" si="52"/>
        <v>(VA) - CHARLES CITY</v>
      </c>
      <c r="AS175" s="75">
        <v>535900</v>
      </c>
      <c r="AU175" s="35" t="s">
        <v>855</v>
      </c>
      <c r="AV175" s="36" t="s">
        <v>1081</v>
      </c>
      <c r="AW175" s="74" t="str">
        <f t="shared" si="50"/>
        <v>(VA) - CHESTERFIELD</v>
      </c>
      <c r="AX175" s="76">
        <v>535900</v>
      </c>
      <c r="AZ175" s="37" t="s">
        <v>855</v>
      </c>
      <c r="BA175" s="38" t="s">
        <v>1081</v>
      </c>
      <c r="BB175" s="74" t="str">
        <f t="shared" si="51"/>
        <v>(VA) - CHESTERFIELD</v>
      </c>
      <c r="BC175" s="76">
        <v>535900</v>
      </c>
      <c r="BE175" s="39" t="s">
        <v>855</v>
      </c>
      <c r="BF175" s="40" t="s">
        <v>1046</v>
      </c>
      <c r="BG175" s="41" t="str">
        <f t="shared" si="44"/>
        <v>(VA) - ARLINGTON</v>
      </c>
      <c r="BH175" s="77">
        <v>636150</v>
      </c>
      <c r="BK175" s="37" t="s">
        <v>855</v>
      </c>
      <c r="BL175" s="38" t="s">
        <v>1115</v>
      </c>
      <c r="BM175" s="43" t="str">
        <f t="shared" si="49"/>
        <v>(VA) - KING AND QUEEN</v>
      </c>
      <c r="BN175" s="76">
        <v>535900</v>
      </c>
      <c r="BQ175" s="38" t="s">
        <v>1094</v>
      </c>
      <c r="BR175" s="37" t="s">
        <v>855</v>
      </c>
      <c r="BS175" s="78" t="str">
        <f t="shared" si="45"/>
        <v>(VA) - RAPPAHANNOCK</v>
      </c>
      <c r="BT175" s="79">
        <v>726525</v>
      </c>
      <c r="BW175" s="38" t="s">
        <v>1147</v>
      </c>
      <c r="BX175" s="37" t="s">
        <v>855</v>
      </c>
      <c r="BY175" s="78" t="str">
        <f t="shared" si="46"/>
        <v xml:space="preserve">(VA) - NEW KENT </v>
      </c>
      <c r="BZ175" s="80">
        <v>535900</v>
      </c>
    </row>
    <row r="176" spans="6:101" ht="15.75" thickBot="1" x14ac:dyDescent="0.3">
      <c r="F176" s="43" t="s">
        <v>1148</v>
      </c>
      <c r="G176" s="58">
        <v>651250</v>
      </c>
      <c r="H176" s="58"/>
      <c r="I176" s="58"/>
      <c r="J176" s="58"/>
      <c r="K176" s="58"/>
      <c r="M176" s="58"/>
      <c r="AP176" s="72" t="s">
        <v>855</v>
      </c>
      <c r="AQ176" s="73" t="s">
        <v>1149</v>
      </c>
      <c r="AR176" s="74" t="str">
        <f t="shared" si="52"/>
        <v>(VA) - CHARLOTTESVILLE</v>
      </c>
      <c r="AS176" s="75">
        <v>437000</v>
      </c>
      <c r="AU176" s="35" t="s">
        <v>855</v>
      </c>
      <c r="AV176" s="36" t="s">
        <v>1050</v>
      </c>
      <c r="AW176" s="74" t="str">
        <f t="shared" si="50"/>
        <v>(VA) - CLARKE</v>
      </c>
      <c r="AX176" s="76">
        <v>625500</v>
      </c>
      <c r="AZ176" s="37" t="s">
        <v>855</v>
      </c>
      <c r="BA176" s="38" t="s">
        <v>1050</v>
      </c>
      <c r="BB176" s="74" t="str">
        <f t="shared" si="51"/>
        <v>(VA) - CLARKE</v>
      </c>
      <c r="BC176" s="76">
        <v>625500</v>
      </c>
      <c r="BE176" s="39" t="s">
        <v>855</v>
      </c>
      <c r="BF176" s="40" t="s">
        <v>1137</v>
      </c>
      <c r="BG176" s="41" t="str">
        <f t="shared" si="44"/>
        <v>(VA) - BUCKINGHAM</v>
      </c>
      <c r="BH176" s="77">
        <v>437000</v>
      </c>
      <c r="BK176" s="37" t="s">
        <v>855</v>
      </c>
      <c r="BL176" s="38" t="s">
        <v>1119</v>
      </c>
      <c r="BM176" s="43" t="str">
        <f t="shared" si="49"/>
        <v>(VA) - KING WILLIAM</v>
      </c>
      <c r="BN176" s="76">
        <v>535900</v>
      </c>
      <c r="BQ176" s="38" t="s">
        <v>1098</v>
      </c>
      <c r="BR176" s="37" t="s">
        <v>855</v>
      </c>
      <c r="BS176" s="78" t="str">
        <f t="shared" si="45"/>
        <v>(VA) - SPOTSYLVANIA</v>
      </c>
      <c r="BT176" s="79">
        <v>726525</v>
      </c>
      <c r="BW176" s="38" t="s">
        <v>1150</v>
      </c>
      <c r="BX176" s="37" t="s">
        <v>855</v>
      </c>
      <c r="BY176" s="78" t="str">
        <f t="shared" si="46"/>
        <v xml:space="preserve">(VA) - POWHATAN </v>
      </c>
      <c r="BZ176" s="80">
        <v>535900</v>
      </c>
    </row>
    <row r="177" spans="6:78" ht="15.75" thickBot="1" x14ac:dyDescent="0.3">
      <c r="F177" s="43" t="s">
        <v>1151</v>
      </c>
      <c r="G177" s="58">
        <v>625500</v>
      </c>
      <c r="H177" s="58"/>
      <c r="I177" s="58"/>
      <c r="J177" s="58"/>
      <c r="K177" s="58"/>
      <c r="M177" s="58"/>
      <c r="AP177" s="72" t="s">
        <v>855</v>
      </c>
      <c r="AQ177" s="73" t="s">
        <v>1152</v>
      </c>
      <c r="AR177" s="74" t="str">
        <f t="shared" si="52"/>
        <v>(VA) - CHEASAPEAKE CITY</v>
      </c>
      <c r="AS177" s="75">
        <v>458850</v>
      </c>
      <c r="AU177" s="35" t="s">
        <v>855</v>
      </c>
      <c r="AV177" s="36" t="s">
        <v>1054</v>
      </c>
      <c r="AW177" s="74" t="str">
        <f t="shared" si="50"/>
        <v>(VA) - CULPEPER</v>
      </c>
      <c r="AX177" s="76">
        <v>625500</v>
      </c>
      <c r="AZ177" s="37" t="s">
        <v>855</v>
      </c>
      <c r="BA177" s="38" t="s">
        <v>1054</v>
      </c>
      <c r="BB177" s="74" t="str">
        <f t="shared" si="51"/>
        <v>(VA) - CULPEPER</v>
      </c>
      <c r="BC177" s="76">
        <v>625500</v>
      </c>
      <c r="BE177" s="39" t="s">
        <v>855</v>
      </c>
      <c r="BF177" s="40" t="s">
        <v>1072</v>
      </c>
      <c r="BG177" s="41" t="str">
        <f t="shared" si="44"/>
        <v>(VA) - CAROLINE</v>
      </c>
      <c r="BH177" s="77">
        <v>535900</v>
      </c>
      <c r="BK177" s="37" t="s">
        <v>855</v>
      </c>
      <c r="BL177" s="38" t="s">
        <v>1080</v>
      </c>
      <c r="BM177" s="43" t="str">
        <f t="shared" si="49"/>
        <v>(VA) - LOUDOUN</v>
      </c>
      <c r="BN177" s="76">
        <v>679650</v>
      </c>
      <c r="BQ177" s="38" t="s">
        <v>1102</v>
      </c>
      <c r="BR177" s="37" t="s">
        <v>855</v>
      </c>
      <c r="BS177" s="78" t="str">
        <f t="shared" si="45"/>
        <v>(VA) - STAFFORD</v>
      </c>
      <c r="BT177" s="79">
        <v>726525</v>
      </c>
      <c r="BW177" s="38" t="s">
        <v>1153</v>
      </c>
      <c r="BX177" s="37" t="s">
        <v>855</v>
      </c>
      <c r="BY177" s="78" t="str">
        <f t="shared" si="46"/>
        <v xml:space="preserve">(VA) - PRINCE GEORGE </v>
      </c>
      <c r="BZ177" s="80">
        <v>535900</v>
      </c>
    </row>
    <row r="178" spans="6:78" ht="15.75" thickBot="1" x14ac:dyDescent="0.3">
      <c r="F178" s="43" t="s">
        <v>1154</v>
      </c>
      <c r="G178" s="58">
        <v>481250</v>
      </c>
      <c r="H178" s="58"/>
      <c r="I178" s="58"/>
      <c r="J178" s="58"/>
      <c r="K178" s="58"/>
      <c r="M178" s="58"/>
      <c r="AP178" s="72" t="s">
        <v>855</v>
      </c>
      <c r="AQ178" s="73" t="s">
        <v>1081</v>
      </c>
      <c r="AR178" s="74" t="str">
        <f t="shared" si="52"/>
        <v>(VA) - CHESTERFIELD</v>
      </c>
      <c r="AS178" s="75">
        <v>535900</v>
      </c>
      <c r="AU178" s="35" t="s">
        <v>855</v>
      </c>
      <c r="AV178" s="36" t="s">
        <v>1090</v>
      </c>
      <c r="AW178" s="74" t="str">
        <f t="shared" si="50"/>
        <v>(VA) - CUMBERLAND</v>
      </c>
      <c r="AX178" s="76">
        <v>535900</v>
      </c>
      <c r="AZ178" s="37" t="s">
        <v>855</v>
      </c>
      <c r="BA178" s="38" t="s">
        <v>1090</v>
      </c>
      <c r="BB178" s="74" t="str">
        <f t="shared" si="51"/>
        <v>(VA) - CUMBERLAND</v>
      </c>
      <c r="BC178" s="76">
        <v>535900</v>
      </c>
      <c r="BE178" s="39" t="s">
        <v>855</v>
      </c>
      <c r="BF178" s="40" t="s">
        <v>1077</v>
      </c>
      <c r="BG178" s="41" t="str">
        <f t="shared" si="44"/>
        <v>(VA) - CHARLES CITY</v>
      </c>
      <c r="BH178" s="77">
        <v>535900</v>
      </c>
      <c r="BK178" s="37" t="s">
        <v>855</v>
      </c>
      <c r="BL178" s="38" t="s">
        <v>1130</v>
      </c>
      <c r="BM178" s="43" t="str">
        <f t="shared" si="49"/>
        <v>(VA) - LOUISA</v>
      </c>
      <c r="BN178" s="76">
        <v>535900</v>
      </c>
      <c r="BQ178" s="38" t="s">
        <v>868</v>
      </c>
      <c r="BR178" s="37" t="s">
        <v>855</v>
      </c>
      <c r="BS178" s="78" t="str">
        <f t="shared" si="45"/>
        <v>(VA) - SUSSEX</v>
      </c>
      <c r="BT178" s="79">
        <v>535900</v>
      </c>
      <c r="BW178" s="38" t="s">
        <v>915</v>
      </c>
      <c r="BX178" s="37" t="s">
        <v>855</v>
      </c>
      <c r="BY178" s="78" t="str">
        <f t="shared" si="46"/>
        <v xml:space="preserve">(VA) - PRINCE WILLIAM </v>
      </c>
      <c r="BZ178" s="80">
        <v>765600</v>
      </c>
    </row>
    <row r="179" spans="6:78" ht="15.75" thickBot="1" x14ac:dyDescent="0.3">
      <c r="F179" s="43" t="s">
        <v>1155</v>
      </c>
      <c r="G179" s="58">
        <v>481250</v>
      </c>
      <c r="H179" s="58"/>
      <c r="I179" s="58"/>
      <c r="J179" s="58"/>
      <c r="K179" s="58"/>
      <c r="M179" s="58"/>
      <c r="AP179" s="72" t="s">
        <v>855</v>
      </c>
      <c r="AQ179" s="73" t="s">
        <v>1050</v>
      </c>
      <c r="AR179" s="74" t="str">
        <f t="shared" si="52"/>
        <v>(VA) - CLARKE</v>
      </c>
      <c r="AS179" s="75">
        <v>692500</v>
      </c>
      <c r="AU179" s="35" t="s">
        <v>855</v>
      </c>
      <c r="AV179" s="36" t="s">
        <v>1095</v>
      </c>
      <c r="AW179" s="74" t="str">
        <f t="shared" si="50"/>
        <v>(VA) - DINWIDDIE</v>
      </c>
      <c r="AX179" s="76">
        <v>535900</v>
      </c>
      <c r="AZ179" s="37" t="s">
        <v>855</v>
      </c>
      <c r="BA179" s="38" t="s">
        <v>1095</v>
      </c>
      <c r="BB179" s="74" t="str">
        <f t="shared" si="51"/>
        <v>(VA) - DINWIDDIE</v>
      </c>
      <c r="BC179" s="76">
        <v>535900</v>
      </c>
      <c r="BE179" s="39" t="s">
        <v>855</v>
      </c>
      <c r="BF179" s="40" t="s">
        <v>1081</v>
      </c>
      <c r="BG179" s="41" t="str">
        <f t="shared" si="44"/>
        <v>(VA) - CHESTERFIELD</v>
      </c>
      <c r="BH179" s="77">
        <v>535900</v>
      </c>
      <c r="BK179" s="37" t="s">
        <v>855</v>
      </c>
      <c r="BL179" s="38" t="s">
        <v>1156</v>
      </c>
      <c r="BM179" s="43" t="str">
        <f t="shared" si="49"/>
        <v>(VA) - MATHEWS</v>
      </c>
      <c r="BN179" s="76">
        <v>458850</v>
      </c>
      <c r="BQ179" s="38" t="s">
        <v>1105</v>
      </c>
      <c r="BR179" s="37" t="s">
        <v>855</v>
      </c>
      <c r="BS179" s="78" t="str">
        <f t="shared" si="45"/>
        <v>(VA) - WARREN</v>
      </c>
      <c r="BT179" s="79">
        <v>726525</v>
      </c>
      <c r="BW179" s="38" t="s">
        <v>1157</v>
      </c>
      <c r="BX179" s="37" t="s">
        <v>855</v>
      </c>
      <c r="BY179" s="78" t="str">
        <f t="shared" si="46"/>
        <v xml:space="preserve">(VA) - RAPPAHANNOCK </v>
      </c>
      <c r="BZ179" s="80">
        <v>765600</v>
      </c>
    </row>
    <row r="180" spans="6:78" ht="15.75" thickBot="1" x14ac:dyDescent="0.3">
      <c r="F180" s="43" t="s">
        <v>1158</v>
      </c>
      <c r="G180" s="58">
        <v>505000</v>
      </c>
      <c r="H180" s="58"/>
      <c r="I180" s="58"/>
      <c r="J180" s="58"/>
      <c r="K180" s="58"/>
      <c r="M180" s="58"/>
      <c r="AP180" s="72" t="s">
        <v>855</v>
      </c>
      <c r="AQ180" s="73" t="s">
        <v>1159</v>
      </c>
      <c r="AR180" s="74" t="str">
        <f t="shared" si="52"/>
        <v>(VA) - COLONIAL HEIGHT</v>
      </c>
      <c r="AS180" s="75">
        <v>535900</v>
      </c>
      <c r="AU180" s="35" t="s">
        <v>855</v>
      </c>
      <c r="AV180" s="36" t="s">
        <v>1099</v>
      </c>
      <c r="AW180" s="74" t="str">
        <f t="shared" si="50"/>
        <v>(VA) - FAIRFAX</v>
      </c>
      <c r="AX180" s="76">
        <v>625500</v>
      </c>
      <c r="AZ180" s="37" t="s">
        <v>855</v>
      </c>
      <c r="BA180" s="38" t="s">
        <v>1099</v>
      </c>
      <c r="BB180" s="74" t="str">
        <f t="shared" si="51"/>
        <v>(VA) - FAIRFAX</v>
      </c>
      <c r="BC180" s="76">
        <v>625500</v>
      </c>
      <c r="BE180" s="39" t="s">
        <v>855</v>
      </c>
      <c r="BF180" s="40" t="s">
        <v>1050</v>
      </c>
      <c r="BG180" s="41" t="str">
        <f t="shared" si="44"/>
        <v>(VA) - CLARKE</v>
      </c>
      <c r="BH180" s="77">
        <v>636150</v>
      </c>
      <c r="BK180" s="37" t="s">
        <v>855</v>
      </c>
      <c r="BL180" s="38" t="s">
        <v>1134</v>
      </c>
      <c r="BM180" s="43" t="str">
        <f t="shared" si="49"/>
        <v>(VA) - NEW KENT</v>
      </c>
      <c r="BN180" s="76">
        <v>535900</v>
      </c>
      <c r="BQ180" s="38" t="s">
        <v>1160</v>
      </c>
      <c r="BR180" s="37" t="s">
        <v>855</v>
      </c>
      <c r="BS180" s="78" t="str">
        <f t="shared" si="45"/>
        <v>(VA) - ALEXANDRIA</v>
      </c>
      <c r="BT180" s="79">
        <v>726525</v>
      </c>
      <c r="BW180" s="38" t="s">
        <v>920</v>
      </c>
      <c r="BX180" s="37" t="s">
        <v>855</v>
      </c>
      <c r="BY180" s="78" t="str">
        <f t="shared" si="46"/>
        <v xml:space="preserve">(VA) - SPOTSYLVANIA </v>
      </c>
      <c r="BZ180" s="80">
        <v>765600</v>
      </c>
    </row>
    <row r="181" spans="6:78" ht="15.75" thickBot="1" x14ac:dyDescent="0.3">
      <c r="F181" s="43" t="s">
        <v>1161</v>
      </c>
      <c r="G181" s="58">
        <v>481250</v>
      </c>
      <c r="H181" s="58"/>
      <c r="I181" s="58"/>
      <c r="J181" s="58"/>
      <c r="K181" s="58"/>
      <c r="M181" s="58"/>
      <c r="AP181" s="72" t="s">
        <v>855</v>
      </c>
      <c r="AQ181" s="73" t="s">
        <v>1054</v>
      </c>
      <c r="AR181" s="74" t="str">
        <f t="shared" si="52"/>
        <v>(VA) - CULPEPER</v>
      </c>
      <c r="AS181" s="75">
        <v>692500</v>
      </c>
      <c r="AU181" s="35" t="s">
        <v>855</v>
      </c>
      <c r="AV181" s="36" t="s">
        <v>1067</v>
      </c>
      <c r="AW181" s="74" t="str">
        <f t="shared" si="50"/>
        <v>(VA) - FAUQUIER</v>
      </c>
      <c r="AX181" s="76">
        <v>625500</v>
      </c>
      <c r="AZ181" s="37" t="s">
        <v>855</v>
      </c>
      <c r="BA181" s="38" t="s">
        <v>1067</v>
      </c>
      <c r="BB181" s="74" t="str">
        <f t="shared" si="51"/>
        <v>(VA) - FAUQUIER</v>
      </c>
      <c r="BC181" s="76">
        <v>625500</v>
      </c>
      <c r="BE181" s="39" t="s">
        <v>855</v>
      </c>
      <c r="BF181" s="40" t="s">
        <v>1054</v>
      </c>
      <c r="BG181" s="41" t="str">
        <f t="shared" si="44"/>
        <v>(VA) - CULPEPER</v>
      </c>
      <c r="BH181" s="77">
        <v>636150</v>
      </c>
      <c r="BK181" s="37" t="s">
        <v>855</v>
      </c>
      <c r="BL181" s="38" t="s">
        <v>1138</v>
      </c>
      <c r="BM181" s="43" t="str">
        <f t="shared" si="49"/>
        <v>(VA) - POWHATAN</v>
      </c>
      <c r="BN181" s="76">
        <v>535900</v>
      </c>
      <c r="BQ181" s="38" t="s">
        <v>1159</v>
      </c>
      <c r="BR181" s="37" t="s">
        <v>855</v>
      </c>
      <c r="BS181" s="78" t="str">
        <f t="shared" si="45"/>
        <v>(VA) - COLONIAL HEIGHT</v>
      </c>
      <c r="BT181" s="79">
        <v>535900</v>
      </c>
      <c r="BW181" s="38" t="s">
        <v>928</v>
      </c>
      <c r="BX181" s="37" t="s">
        <v>855</v>
      </c>
      <c r="BY181" s="78" t="str">
        <f t="shared" si="46"/>
        <v xml:space="preserve">(VA) - STAFFORD </v>
      </c>
      <c r="BZ181" s="80">
        <v>765600</v>
      </c>
    </row>
    <row r="182" spans="6:78" ht="15.75" thickBot="1" x14ac:dyDescent="0.3">
      <c r="F182" s="43" t="s">
        <v>1162</v>
      </c>
      <c r="G182" s="58">
        <v>768750</v>
      </c>
      <c r="H182" s="58"/>
      <c r="I182" s="58"/>
      <c r="J182" s="58"/>
      <c r="K182" s="58"/>
      <c r="M182" s="58"/>
      <c r="AP182" s="72" t="s">
        <v>855</v>
      </c>
      <c r="AQ182" s="73" t="s">
        <v>1090</v>
      </c>
      <c r="AR182" s="74" t="str">
        <f t="shared" si="52"/>
        <v>(VA) - CUMBERLAND</v>
      </c>
      <c r="AS182" s="75">
        <v>535900</v>
      </c>
      <c r="AU182" s="35" t="s">
        <v>855</v>
      </c>
      <c r="AV182" s="36" t="s">
        <v>1163</v>
      </c>
      <c r="AW182" s="74" t="str">
        <f t="shared" si="50"/>
        <v>(VA) - FLUVANNA</v>
      </c>
      <c r="AX182" s="76">
        <v>437000</v>
      </c>
      <c r="AZ182" s="37" t="s">
        <v>855</v>
      </c>
      <c r="BA182" s="38" t="s">
        <v>1163</v>
      </c>
      <c r="BB182" s="74" t="str">
        <f t="shared" si="51"/>
        <v>(VA) - FLUVANNA</v>
      </c>
      <c r="BC182" s="76">
        <v>437000</v>
      </c>
      <c r="BE182" s="39" t="s">
        <v>855</v>
      </c>
      <c r="BF182" s="40" t="s">
        <v>1090</v>
      </c>
      <c r="BG182" s="41" t="str">
        <f t="shared" si="44"/>
        <v>(VA) - CUMBERLAND</v>
      </c>
      <c r="BH182" s="77">
        <v>535900</v>
      </c>
      <c r="BK182" s="37" t="s">
        <v>855</v>
      </c>
      <c r="BL182" s="38" t="s">
        <v>1141</v>
      </c>
      <c r="BM182" s="43" t="str">
        <f t="shared" si="49"/>
        <v>(VA) - PRINCE GEORGE</v>
      </c>
      <c r="BN182" s="76">
        <v>535900</v>
      </c>
      <c r="BQ182" s="38" t="s">
        <v>1164</v>
      </c>
      <c r="BR182" s="37" t="s">
        <v>855</v>
      </c>
      <c r="BS182" s="78" t="str">
        <f t="shared" si="45"/>
        <v>(VA) - FAIRFAX IND</v>
      </c>
      <c r="BT182" s="79">
        <v>726525</v>
      </c>
      <c r="BW182" s="38" t="s">
        <v>785</v>
      </c>
      <c r="BX182" s="37" t="s">
        <v>855</v>
      </c>
      <c r="BY182" s="78" t="str">
        <f t="shared" si="46"/>
        <v xml:space="preserve">(VA) - SUSSEX </v>
      </c>
      <c r="BZ182" s="80">
        <v>535900</v>
      </c>
    </row>
    <row r="183" spans="6:78" ht="15.75" thickBot="1" x14ac:dyDescent="0.3">
      <c r="F183" s="43" t="s">
        <v>1165</v>
      </c>
      <c r="G183" s="58">
        <v>703750</v>
      </c>
      <c r="H183" s="58"/>
      <c r="I183" s="58"/>
      <c r="J183" s="58"/>
      <c r="K183" s="58"/>
      <c r="M183" s="58"/>
      <c r="AP183" s="72" t="s">
        <v>855</v>
      </c>
      <c r="AQ183" s="73" t="s">
        <v>1166</v>
      </c>
      <c r="AR183" s="74" t="str">
        <f t="shared" si="52"/>
        <v>(VA) - DINWIDDLE</v>
      </c>
      <c r="AS183" s="75">
        <v>535900</v>
      </c>
      <c r="AU183" s="35" t="s">
        <v>855</v>
      </c>
      <c r="AV183" s="36" t="s">
        <v>1125</v>
      </c>
      <c r="AW183" s="74" t="str">
        <f t="shared" si="50"/>
        <v>(VA) - GLOUCESTER</v>
      </c>
      <c r="AX183" s="76">
        <v>458850</v>
      </c>
      <c r="AZ183" s="37" t="s">
        <v>855</v>
      </c>
      <c r="BA183" s="38" t="s">
        <v>1125</v>
      </c>
      <c r="BB183" s="74" t="str">
        <f t="shared" si="51"/>
        <v>(VA) - GLOUCESTER</v>
      </c>
      <c r="BC183" s="76">
        <v>458850</v>
      </c>
      <c r="BE183" s="39" t="s">
        <v>855</v>
      </c>
      <c r="BF183" s="40" t="s">
        <v>1095</v>
      </c>
      <c r="BG183" s="41" t="str">
        <f t="shared" si="44"/>
        <v>(VA) - DINWIDDIE</v>
      </c>
      <c r="BH183" s="77">
        <v>535900</v>
      </c>
      <c r="BK183" s="37" t="s">
        <v>855</v>
      </c>
      <c r="BL183" s="38" t="s">
        <v>1089</v>
      </c>
      <c r="BM183" s="43" t="str">
        <f t="shared" si="49"/>
        <v>(VA) - PRINCE WILLIAM</v>
      </c>
      <c r="BN183" s="76">
        <v>679650</v>
      </c>
      <c r="BQ183" s="38" t="s">
        <v>1167</v>
      </c>
      <c r="BR183" s="37" t="s">
        <v>855</v>
      </c>
      <c r="BS183" s="78" t="str">
        <f t="shared" si="45"/>
        <v>(VA) - FALLS CHURCH</v>
      </c>
      <c r="BT183" s="79">
        <v>726525</v>
      </c>
      <c r="BW183" s="38" t="s">
        <v>934</v>
      </c>
      <c r="BX183" s="37" t="s">
        <v>855</v>
      </c>
      <c r="BY183" s="78" t="str">
        <f t="shared" si="46"/>
        <v xml:space="preserve">(VA) - WARREN </v>
      </c>
      <c r="BZ183" s="80">
        <v>765600</v>
      </c>
    </row>
    <row r="184" spans="6:78" ht="15.75" thickBot="1" x14ac:dyDescent="0.3">
      <c r="I184" s="58"/>
      <c r="J184" s="58"/>
      <c r="K184" s="58"/>
      <c r="M184" s="58"/>
      <c r="AP184" s="72" t="s">
        <v>855</v>
      </c>
      <c r="AQ184" s="73" t="s">
        <v>1048</v>
      </c>
      <c r="AR184" s="74" t="str">
        <f t="shared" si="52"/>
        <v>(VA) - FAIRFAX CITY</v>
      </c>
      <c r="AS184" s="75">
        <v>692500</v>
      </c>
      <c r="AU184" s="35" t="s">
        <v>855</v>
      </c>
      <c r="AV184" s="36" t="s">
        <v>1106</v>
      </c>
      <c r="AW184" s="74" t="str">
        <f t="shared" si="50"/>
        <v>(VA) - GOOCHLAND</v>
      </c>
      <c r="AX184" s="76">
        <v>535900</v>
      </c>
      <c r="AZ184" s="37" t="s">
        <v>855</v>
      </c>
      <c r="BA184" s="38" t="s">
        <v>1106</v>
      </c>
      <c r="BB184" s="74" t="str">
        <f t="shared" si="51"/>
        <v>(VA) - GOOCHLAND</v>
      </c>
      <c r="BC184" s="76">
        <v>535900</v>
      </c>
      <c r="BE184" s="39" t="s">
        <v>855</v>
      </c>
      <c r="BF184" s="40" t="s">
        <v>1099</v>
      </c>
      <c r="BG184" s="41" t="str">
        <f t="shared" si="44"/>
        <v>(VA) - FAIRFAX</v>
      </c>
      <c r="BH184" s="77">
        <v>636150</v>
      </c>
      <c r="BK184" s="37" t="s">
        <v>855</v>
      </c>
      <c r="BL184" s="38" t="s">
        <v>1094</v>
      </c>
      <c r="BM184" s="43" t="str">
        <f t="shared" si="49"/>
        <v>(VA) - RAPPAHANNOCK</v>
      </c>
      <c r="BN184" s="76">
        <v>679650</v>
      </c>
      <c r="BQ184" s="38" t="s">
        <v>1071</v>
      </c>
      <c r="BR184" s="37" t="s">
        <v>855</v>
      </c>
      <c r="BS184" s="78" t="str">
        <f t="shared" si="45"/>
        <v>(VA) - FREDERICKSBURG</v>
      </c>
      <c r="BT184" s="79">
        <v>726525</v>
      </c>
      <c r="BW184" s="38" t="s">
        <v>1041</v>
      </c>
      <c r="BX184" s="37" t="s">
        <v>855</v>
      </c>
      <c r="BY184" s="78" t="str">
        <f t="shared" si="46"/>
        <v>(VA) - ALEXANDRIA CITY</v>
      </c>
      <c r="BZ184" s="80">
        <v>765600</v>
      </c>
    </row>
    <row r="185" spans="6:78" ht="15.75" thickBot="1" x14ac:dyDescent="0.3">
      <c r="AP185" s="72" t="s">
        <v>855</v>
      </c>
      <c r="AQ185" s="73" t="s">
        <v>999</v>
      </c>
      <c r="AR185" s="74" t="str">
        <f t="shared" si="52"/>
        <v>(VA) - FAIRFAX COUNTY</v>
      </c>
      <c r="AS185" s="75">
        <v>692500</v>
      </c>
      <c r="AU185" s="35" t="s">
        <v>855</v>
      </c>
      <c r="AV185" s="36" t="s">
        <v>699</v>
      </c>
      <c r="AW185" s="74" t="str">
        <f t="shared" si="50"/>
        <v>(VA) - GREENE</v>
      </c>
      <c r="AX185" s="76">
        <v>437000</v>
      </c>
      <c r="AZ185" s="37" t="s">
        <v>855</v>
      </c>
      <c r="BA185" s="38" t="s">
        <v>699</v>
      </c>
      <c r="BB185" s="74" t="str">
        <f t="shared" si="51"/>
        <v>(VA) - GREENE</v>
      </c>
      <c r="BC185" s="76">
        <v>437000</v>
      </c>
      <c r="BE185" s="39" t="s">
        <v>855</v>
      </c>
      <c r="BF185" s="40" t="s">
        <v>1067</v>
      </c>
      <c r="BG185" s="41" t="str">
        <f t="shared" si="44"/>
        <v>(VA) - FAUQUIER</v>
      </c>
      <c r="BH185" s="77">
        <v>636150</v>
      </c>
      <c r="BK185" s="37" t="s">
        <v>855</v>
      </c>
      <c r="BL185" s="38" t="s">
        <v>1098</v>
      </c>
      <c r="BM185" s="43" t="str">
        <f t="shared" si="49"/>
        <v>(VA) - SPOTSYLVANIA</v>
      </c>
      <c r="BN185" s="76">
        <v>679650</v>
      </c>
      <c r="BQ185" s="38" t="s">
        <v>1168</v>
      </c>
      <c r="BR185" s="37" t="s">
        <v>855</v>
      </c>
      <c r="BS185" s="78" t="str">
        <f t="shared" si="45"/>
        <v>(VA) - HOPEWELL</v>
      </c>
      <c r="BT185" s="79">
        <v>535900</v>
      </c>
      <c r="BW185" s="38" t="s">
        <v>1169</v>
      </c>
      <c r="BX185" s="37" t="s">
        <v>855</v>
      </c>
      <c r="BY185" s="78" t="str">
        <f t="shared" si="46"/>
        <v>(VA) - COLONIAL HEIGHTS CITY</v>
      </c>
      <c r="BZ185" s="80">
        <v>535900</v>
      </c>
    </row>
    <row r="186" spans="6:78" ht="15.75" thickBot="1" x14ac:dyDescent="0.3">
      <c r="AP186" s="72" t="s">
        <v>855</v>
      </c>
      <c r="AQ186" s="73" t="s">
        <v>1052</v>
      </c>
      <c r="AR186" s="74" t="str">
        <f t="shared" si="52"/>
        <v>(VA) - FALLS CHURCH CITY</v>
      </c>
      <c r="AS186" s="75">
        <v>692500</v>
      </c>
      <c r="AU186" s="35" t="s">
        <v>855</v>
      </c>
      <c r="AV186" s="36" t="s">
        <v>1110</v>
      </c>
      <c r="AW186" s="74" t="str">
        <f t="shared" si="50"/>
        <v>(VA) - HANOVER</v>
      </c>
      <c r="AX186" s="76">
        <v>535900</v>
      </c>
      <c r="AZ186" s="37" t="s">
        <v>855</v>
      </c>
      <c r="BA186" s="38" t="s">
        <v>1110</v>
      </c>
      <c r="BB186" s="74" t="str">
        <f t="shared" si="51"/>
        <v>(VA) - HANOVER</v>
      </c>
      <c r="BC186" s="76">
        <v>535900</v>
      </c>
      <c r="BE186" s="39" t="s">
        <v>855</v>
      </c>
      <c r="BF186" s="40" t="s">
        <v>1163</v>
      </c>
      <c r="BG186" s="41" t="str">
        <f t="shared" si="44"/>
        <v>(VA) - FLUVANNA</v>
      </c>
      <c r="BH186" s="77">
        <v>437000</v>
      </c>
      <c r="BK186" s="37" t="s">
        <v>855</v>
      </c>
      <c r="BL186" s="38" t="s">
        <v>1102</v>
      </c>
      <c r="BM186" s="43" t="str">
        <f t="shared" si="49"/>
        <v>(VA) - STAFFORD</v>
      </c>
      <c r="BN186" s="76">
        <v>679650</v>
      </c>
      <c r="BQ186" s="38" t="s">
        <v>1170</v>
      </c>
      <c r="BR186" s="37" t="s">
        <v>855</v>
      </c>
      <c r="BS186" s="78" t="str">
        <f t="shared" si="45"/>
        <v>(VA) - MANASSAS</v>
      </c>
      <c r="BT186" s="79">
        <v>726525</v>
      </c>
      <c r="BW186" s="38" t="s">
        <v>1048</v>
      </c>
      <c r="BX186" s="37" t="s">
        <v>855</v>
      </c>
      <c r="BY186" s="78" t="str">
        <f t="shared" si="46"/>
        <v>(VA) - FAIRFAX CITY</v>
      </c>
      <c r="BZ186" s="80">
        <v>765600</v>
      </c>
    </row>
    <row r="187" spans="6:78" ht="15.75" thickBot="1" x14ac:dyDescent="0.3">
      <c r="AP187" s="72" t="s">
        <v>855</v>
      </c>
      <c r="AQ187" s="73" t="s">
        <v>1067</v>
      </c>
      <c r="AR187" s="74" t="str">
        <f t="shared" si="52"/>
        <v>(VA) - FAUQUIER</v>
      </c>
      <c r="AS187" s="75">
        <v>692500</v>
      </c>
      <c r="AU187" s="35" t="s">
        <v>855</v>
      </c>
      <c r="AV187" s="36" t="s">
        <v>1112</v>
      </c>
      <c r="AW187" s="74" t="str">
        <f t="shared" si="50"/>
        <v>(VA) - HENRICO</v>
      </c>
      <c r="AX187" s="76">
        <v>535900</v>
      </c>
      <c r="AZ187" s="37" t="s">
        <v>855</v>
      </c>
      <c r="BA187" s="38" t="s">
        <v>1112</v>
      </c>
      <c r="BB187" s="74" t="str">
        <f t="shared" si="51"/>
        <v>(VA) - HENRICO</v>
      </c>
      <c r="BC187" s="76">
        <v>535900</v>
      </c>
      <c r="BE187" s="39" t="s">
        <v>855</v>
      </c>
      <c r="BF187" s="40" t="s">
        <v>1125</v>
      </c>
      <c r="BG187" s="41" t="str">
        <f t="shared" si="44"/>
        <v>(VA) - GLOUCESTER</v>
      </c>
      <c r="BH187" s="77">
        <v>458850</v>
      </c>
      <c r="BK187" s="37" t="s">
        <v>855</v>
      </c>
      <c r="BL187" s="38" t="s">
        <v>1171</v>
      </c>
      <c r="BM187" s="43" t="str">
        <f t="shared" si="49"/>
        <v>(VA) - SURRY</v>
      </c>
      <c r="BN187" s="76">
        <v>458850</v>
      </c>
      <c r="BQ187" s="38" t="s">
        <v>1172</v>
      </c>
      <c r="BR187" s="37" t="s">
        <v>855</v>
      </c>
      <c r="BS187" s="78" t="str">
        <f t="shared" si="45"/>
        <v>(VA) - MANASSAS PARK</v>
      </c>
      <c r="BT187" s="79">
        <v>726525</v>
      </c>
      <c r="BW187" s="38" t="s">
        <v>1052</v>
      </c>
      <c r="BX187" s="37" t="s">
        <v>855</v>
      </c>
      <c r="BY187" s="78" t="str">
        <f t="shared" si="46"/>
        <v>(VA) - FALLS CHURCH CITY</v>
      </c>
      <c r="BZ187" s="80">
        <v>765600</v>
      </c>
    </row>
    <row r="188" spans="6:78" ht="15.75" thickBot="1" x14ac:dyDescent="0.3">
      <c r="AP188" s="72" t="s">
        <v>855</v>
      </c>
      <c r="AQ188" s="73" t="s">
        <v>1173</v>
      </c>
      <c r="AR188" s="74" t="str">
        <f t="shared" si="52"/>
        <v>(VA) - FLUVANIA</v>
      </c>
      <c r="AS188" s="75">
        <v>437000</v>
      </c>
      <c r="AU188" s="35" t="s">
        <v>855</v>
      </c>
      <c r="AV188" s="36" t="s">
        <v>1140</v>
      </c>
      <c r="AW188" s="74" t="str">
        <f t="shared" si="50"/>
        <v>(VA) - ISLE OF WIGHT</v>
      </c>
      <c r="AX188" s="76">
        <v>458850</v>
      </c>
      <c r="AZ188" s="37" t="s">
        <v>855</v>
      </c>
      <c r="BA188" s="38" t="s">
        <v>1140</v>
      </c>
      <c r="BB188" s="74" t="str">
        <f t="shared" si="51"/>
        <v>(VA) - ISLE OF WIGHT</v>
      </c>
      <c r="BC188" s="76">
        <v>458850</v>
      </c>
      <c r="BE188" s="39" t="s">
        <v>855</v>
      </c>
      <c r="BF188" s="40" t="s">
        <v>1106</v>
      </c>
      <c r="BG188" s="41" t="str">
        <f t="shared" si="44"/>
        <v>(VA) - GOOCHLAND</v>
      </c>
      <c r="BH188" s="77">
        <v>535900</v>
      </c>
      <c r="BK188" s="37" t="s">
        <v>855</v>
      </c>
      <c r="BL188" s="38" t="s">
        <v>868</v>
      </c>
      <c r="BM188" s="43" t="str">
        <f t="shared" si="49"/>
        <v>(VA) - SUSSEX</v>
      </c>
      <c r="BN188" s="76">
        <v>535900</v>
      </c>
      <c r="BQ188" s="38" t="s">
        <v>1174</v>
      </c>
      <c r="BR188" s="37" t="s">
        <v>855</v>
      </c>
      <c r="BS188" s="78" t="str">
        <f t="shared" si="45"/>
        <v>(VA) - PETERSBURG</v>
      </c>
      <c r="BT188" s="79">
        <v>535900</v>
      </c>
      <c r="BW188" s="38" t="s">
        <v>1057</v>
      </c>
      <c r="BX188" s="37" t="s">
        <v>855</v>
      </c>
      <c r="BY188" s="78" t="str">
        <f t="shared" si="46"/>
        <v>(VA) - FREDERICKSBURG CITY</v>
      </c>
      <c r="BZ188" s="80">
        <v>765600</v>
      </c>
    </row>
    <row r="189" spans="6:78" ht="15.75" thickBot="1" x14ac:dyDescent="0.3">
      <c r="AP189" s="72" t="s">
        <v>855</v>
      </c>
      <c r="AQ189" s="73" t="s">
        <v>1071</v>
      </c>
      <c r="AR189" s="74" t="str">
        <f t="shared" si="52"/>
        <v>(VA) - FREDERICKSBURG</v>
      </c>
      <c r="AS189" s="75">
        <v>692500</v>
      </c>
      <c r="AU189" s="35" t="s">
        <v>855</v>
      </c>
      <c r="AV189" s="36" t="s">
        <v>1144</v>
      </c>
      <c r="AW189" s="74" t="str">
        <f t="shared" si="50"/>
        <v>(VA) - JAMES CITY</v>
      </c>
      <c r="AX189" s="76">
        <v>458850</v>
      </c>
      <c r="AZ189" s="37" t="s">
        <v>855</v>
      </c>
      <c r="BA189" s="38" t="s">
        <v>1144</v>
      </c>
      <c r="BB189" s="74" t="str">
        <f t="shared" si="51"/>
        <v>(VA) - JAMES CITY</v>
      </c>
      <c r="BC189" s="76">
        <v>458850</v>
      </c>
      <c r="BE189" s="39" t="s">
        <v>855</v>
      </c>
      <c r="BF189" s="40" t="s">
        <v>699</v>
      </c>
      <c r="BG189" s="41" t="str">
        <f t="shared" si="44"/>
        <v>(VA) - GREENE</v>
      </c>
      <c r="BH189" s="77">
        <v>437000</v>
      </c>
      <c r="BK189" s="37" t="s">
        <v>855</v>
      </c>
      <c r="BL189" s="38" t="s">
        <v>1105</v>
      </c>
      <c r="BM189" s="43" t="str">
        <f t="shared" si="49"/>
        <v>(VA) - WARREN</v>
      </c>
      <c r="BN189" s="76">
        <v>679650</v>
      </c>
      <c r="BQ189" s="38" t="s">
        <v>1175</v>
      </c>
      <c r="BR189" s="37" t="s">
        <v>855</v>
      </c>
      <c r="BS189" s="78" t="str">
        <f t="shared" si="45"/>
        <v>(VA) - RICHMOND IND</v>
      </c>
      <c r="BT189" s="79">
        <v>535900</v>
      </c>
      <c r="BW189" s="38" t="s">
        <v>1176</v>
      </c>
      <c r="BX189" s="37" t="s">
        <v>855</v>
      </c>
      <c r="BY189" s="78" t="str">
        <f t="shared" si="46"/>
        <v>(VA) - HOPEWELL CITY</v>
      </c>
      <c r="BZ189" s="80">
        <v>535900</v>
      </c>
    </row>
    <row r="190" spans="6:78" ht="15.75" thickBot="1" x14ac:dyDescent="0.3">
      <c r="AP190" s="72" t="s">
        <v>855</v>
      </c>
      <c r="AQ190" s="73" t="s">
        <v>1125</v>
      </c>
      <c r="AR190" s="74" t="str">
        <f t="shared" si="52"/>
        <v>(VA) - GLOUCESTER</v>
      </c>
      <c r="AS190" s="75">
        <v>458850</v>
      </c>
      <c r="AU190" s="35" t="s">
        <v>855</v>
      </c>
      <c r="AV190" s="36" t="s">
        <v>1115</v>
      </c>
      <c r="AW190" s="74" t="str">
        <f t="shared" si="50"/>
        <v>(VA) - KING AND QUEEN</v>
      </c>
      <c r="AX190" s="76">
        <v>535900</v>
      </c>
      <c r="AZ190" s="37" t="s">
        <v>855</v>
      </c>
      <c r="BA190" s="38" t="s">
        <v>1115</v>
      </c>
      <c r="BB190" s="74" t="str">
        <f t="shared" si="51"/>
        <v>(VA) - KING AND QUEEN</v>
      </c>
      <c r="BC190" s="76">
        <v>535900</v>
      </c>
      <c r="BE190" s="39" t="s">
        <v>855</v>
      </c>
      <c r="BF190" s="40" t="s">
        <v>1110</v>
      </c>
      <c r="BG190" s="41" t="str">
        <f t="shared" si="44"/>
        <v>(VA) - HANOVER</v>
      </c>
      <c r="BH190" s="77">
        <v>535900</v>
      </c>
      <c r="BK190" s="37" t="s">
        <v>855</v>
      </c>
      <c r="BL190" s="38" t="s">
        <v>1177</v>
      </c>
      <c r="BM190" s="43" t="str">
        <f t="shared" si="49"/>
        <v>(VA) - YORK</v>
      </c>
      <c r="BN190" s="76">
        <v>458850</v>
      </c>
      <c r="BQ190" s="38" t="s">
        <v>1118</v>
      </c>
      <c r="BR190" s="37" t="s">
        <v>953</v>
      </c>
      <c r="BS190" s="78" t="str">
        <f t="shared" si="45"/>
        <v>(WA) - KING</v>
      </c>
      <c r="BT190" s="79">
        <v>726525</v>
      </c>
      <c r="BW190" s="38" t="s">
        <v>1059</v>
      </c>
      <c r="BX190" s="37" t="s">
        <v>855</v>
      </c>
      <c r="BY190" s="78" t="str">
        <f t="shared" si="46"/>
        <v>(VA) - MANASSAS CITY</v>
      </c>
      <c r="BZ190" s="80">
        <v>765600</v>
      </c>
    </row>
    <row r="191" spans="6:78" ht="15.75" thickBot="1" x14ac:dyDescent="0.3">
      <c r="AP191" s="72" t="s">
        <v>855</v>
      </c>
      <c r="AQ191" s="73" t="s">
        <v>1106</v>
      </c>
      <c r="AR191" s="74" t="str">
        <f t="shared" si="52"/>
        <v>(VA) - GOOCHLAND</v>
      </c>
      <c r="AS191" s="75">
        <v>535900</v>
      </c>
      <c r="AU191" s="35" t="s">
        <v>855</v>
      </c>
      <c r="AV191" s="36" t="s">
        <v>1119</v>
      </c>
      <c r="AW191" s="74" t="str">
        <f t="shared" si="50"/>
        <v>(VA) - KING WILLIAM</v>
      </c>
      <c r="AX191" s="76">
        <v>535900</v>
      </c>
      <c r="AZ191" s="37" t="s">
        <v>855</v>
      </c>
      <c r="BA191" s="38" t="s">
        <v>1119</v>
      </c>
      <c r="BB191" s="74" t="str">
        <f t="shared" si="51"/>
        <v>(VA) - KING WILLIAM</v>
      </c>
      <c r="BC191" s="76">
        <v>535900</v>
      </c>
      <c r="BE191" s="39" t="s">
        <v>855</v>
      </c>
      <c r="BF191" s="40" t="s">
        <v>1112</v>
      </c>
      <c r="BG191" s="41" t="str">
        <f t="shared" si="44"/>
        <v>(VA) - HENRICO</v>
      </c>
      <c r="BH191" s="77">
        <v>535900</v>
      </c>
      <c r="BK191" s="37" t="s">
        <v>855</v>
      </c>
      <c r="BL191" s="38" t="s">
        <v>1160</v>
      </c>
      <c r="BM191" s="43" t="str">
        <f t="shared" si="49"/>
        <v>(VA) - ALEXANDRIA</v>
      </c>
      <c r="BN191" s="76">
        <v>679650</v>
      </c>
      <c r="BQ191" s="38" t="s">
        <v>1123</v>
      </c>
      <c r="BR191" s="37" t="s">
        <v>953</v>
      </c>
      <c r="BS191" s="78" t="str">
        <f t="shared" si="45"/>
        <v>(WA) - PIERCE</v>
      </c>
      <c r="BT191" s="79">
        <v>726525</v>
      </c>
      <c r="BW191" s="38" t="s">
        <v>1062</v>
      </c>
      <c r="BX191" s="37" t="s">
        <v>855</v>
      </c>
      <c r="BY191" s="78" t="str">
        <f t="shared" si="46"/>
        <v>(VA) - MANASSAS PARK CITY</v>
      </c>
      <c r="BZ191" s="80">
        <v>765600</v>
      </c>
    </row>
    <row r="192" spans="6:78" ht="15.75" thickBot="1" x14ac:dyDescent="0.3">
      <c r="AP192" s="72" t="s">
        <v>855</v>
      </c>
      <c r="AQ192" s="73" t="s">
        <v>699</v>
      </c>
      <c r="AR192" s="74" t="str">
        <f t="shared" si="52"/>
        <v>(VA) - GREENE</v>
      </c>
      <c r="AS192" s="75">
        <v>437000</v>
      </c>
      <c r="AU192" s="35" t="s">
        <v>855</v>
      </c>
      <c r="AV192" s="36" t="s">
        <v>1076</v>
      </c>
      <c r="AW192" s="74" t="str">
        <f t="shared" si="50"/>
        <v>(VA) - LANCASTER</v>
      </c>
      <c r="AX192" s="76">
        <v>442750</v>
      </c>
      <c r="AZ192" s="37" t="s">
        <v>855</v>
      </c>
      <c r="BA192" s="38" t="s">
        <v>1076</v>
      </c>
      <c r="BB192" s="74" t="str">
        <f t="shared" si="51"/>
        <v>(VA) - LANCASTER</v>
      </c>
      <c r="BC192" s="76">
        <v>442750</v>
      </c>
      <c r="BE192" s="39" t="s">
        <v>855</v>
      </c>
      <c r="BF192" s="40" t="s">
        <v>1140</v>
      </c>
      <c r="BG192" s="41" t="str">
        <f t="shared" si="44"/>
        <v>(VA) - ISLE OF WIGHT</v>
      </c>
      <c r="BH192" s="77">
        <v>458850</v>
      </c>
      <c r="BK192" s="37" t="s">
        <v>855</v>
      </c>
      <c r="BL192" s="38" t="s">
        <v>1178</v>
      </c>
      <c r="BM192" s="43" t="str">
        <f t="shared" si="49"/>
        <v>(VA) - CHESAPEAKE</v>
      </c>
      <c r="BN192" s="76">
        <v>458850</v>
      </c>
      <c r="BQ192" s="38" t="s">
        <v>1133</v>
      </c>
      <c r="BR192" s="37" t="s">
        <v>953</v>
      </c>
      <c r="BS192" s="78" t="str">
        <f t="shared" si="45"/>
        <v>(WA) - SNOHOMISH</v>
      </c>
      <c r="BT192" s="79">
        <v>726525</v>
      </c>
      <c r="BW192" s="38" t="s">
        <v>1179</v>
      </c>
      <c r="BX192" s="37" t="s">
        <v>855</v>
      </c>
      <c r="BY192" s="78" t="str">
        <f t="shared" si="46"/>
        <v>(VA) - PETERSBURG CITY</v>
      </c>
      <c r="BZ192" s="80">
        <v>535900</v>
      </c>
    </row>
    <row r="193" spans="42:78" ht="15.75" thickBot="1" x14ac:dyDescent="0.3">
      <c r="AP193" s="72" t="s">
        <v>855</v>
      </c>
      <c r="AQ193" s="73" t="s">
        <v>1180</v>
      </c>
      <c r="AR193" s="74" t="str">
        <f t="shared" si="52"/>
        <v>(VA) - HAMPTON CITY</v>
      </c>
      <c r="AS193" s="75">
        <v>458850</v>
      </c>
      <c r="AU193" s="35" t="s">
        <v>855</v>
      </c>
      <c r="AV193" s="36" t="s">
        <v>1080</v>
      </c>
      <c r="AW193" s="74" t="str">
        <f t="shared" si="50"/>
        <v>(VA) - LOUDOUN</v>
      </c>
      <c r="AX193" s="76">
        <v>625500</v>
      </c>
      <c r="AZ193" s="37" t="s">
        <v>855</v>
      </c>
      <c r="BA193" s="38" t="s">
        <v>1080</v>
      </c>
      <c r="BB193" s="74" t="str">
        <f t="shared" si="51"/>
        <v>(VA) - LOUDOUN</v>
      </c>
      <c r="BC193" s="76">
        <v>625500</v>
      </c>
      <c r="BE193" s="39" t="s">
        <v>855</v>
      </c>
      <c r="BF193" s="40" t="s">
        <v>1144</v>
      </c>
      <c r="BG193" s="41" t="str">
        <f t="shared" si="44"/>
        <v>(VA) - JAMES CITY</v>
      </c>
      <c r="BH193" s="77">
        <v>458850</v>
      </c>
      <c r="BK193" s="37" t="s">
        <v>855</v>
      </c>
      <c r="BL193" s="38" t="s">
        <v>1159</v>
      </c>
      <c r="BM193" s="43" t="str">
        <f t="shared" si="49"/>
        <v>(VA) - COLONIAL HEIGHT</v>
      </c>
      <c r="BN193" s="76">
        <v>535900</v>
      </c>
      <c r="BQ193" s="38" t="s">
        <v>625</v>
      </c>
      <c r="BR193" s="37" t="s">
        <v>971</v>
      </c>
      <c r="BS193" s="78" t="str">
        <f t="shared" si="45"/>
        <v>(WV) - JEFFERSON</v>
      </c>
      <c r="BT193" s="79">
        <v>726525</v>
      </c>
      <c r="BW193" s="38" t="s">
        <v>1181</v>
      </c>
      <c r="BX193" s="37" t="s">
        <v>855</v>
      </c>
      <c r="BY193" s="78" t="str">
        <f t="shared" si="46"/>
        <v>(VA) - RICHMOND CITY</v>
      </c>
      <c r="BZ193" s="80">
        <v>535900</v>
      </c>
    </row>
    <row r="194" spans="42:78" ht="15.75" thickBot="1" x14ac:dyDescent="0.3">
      <c r="AP194" s="72" t="s">
        <v>855</v>
      </c>
      <c r="AQ194" s="73" t="s">
        <v>1110</v>
      </c>
      <c r="AR194" s="74" t="str">
        <f t="shared" si="52"/>
        <v>(VA) - HANOVER</v>
      </c>
      <c r="AS194" s="75">
        <v>535900</v>
      </c>
      <c r="AU194" s="35" t="s">
        <v>855</v>
      </c>
      <c r="AV194" s="36" t="s">
        <v>1130</v>
      </c>
      <c r="AW194" s="74" t="str">
        <f t="shared" si="50"/>
        <v>(VA) - LOUISA</v>
      </c>
      <c r="AX194" s="76">
        <v>535900</v>
      </c>
      <c r="AZ194" s="37" t="s">
        <v>855</v>
      </c>
      <c r="BA194" s="38" t="s">
        <v>1130</v>
      </c>
      <c r="BB194" s="74" t="str">
        <f t="shared" si="51"/>
        <v>(VA) - LOUISA</v>
      </c>
      <c r="BC194" s="76">
        <v>535900</v>
      </c>
      <c r="BE194" s="39" t="s">
        <v>855</v>
      </c>
      <c r="BF194" s="40" t="s">
        <v>1115</v>
      </c>
      <c r="BG194" s="41" t="str">
        <f t="shared" si="44"/>
        <v>(VA) - KING AND QUEEN</v>
      </c>
      <c r="BH194" s="77">
        <v>535900</v>
      </c>
      <c r="BK194" s="37" t="s">
        <v>855</v>
      </c>
      <c r="BL194" s="38" t="s">
        <v>1164</v>
      </c>
      <c r="BM194" s="43" t="str">
        <f t="shared" si="49"/>
        <v>(VA) - FAIRFAX IND</v>
      </c>
      <c r="BN194" s="76">
        <v>679650</v>
      </c>
      <c r="BQ194" s="38" t="s">
        <v>746</v>
      </c>
      <c r="BR194" s="37" t="s">
        <v>975</v>
      </c>
      <c r="BS194" s="78" t="str">
        <f t="shared" si="45"/>
        <v>(WY) - TETON</v>
      </c>
      <c r="BT194" s="79">
        <v>726525</v>
      </c>
      <c r="BW194" s="38" t="s">
        <v>954</v>
      </c>
      <c r="BX194" s="37" t="s">
        <v>953</v>
      </c>
      <c r="BY194" s="78" t="str">
        <f t="shared" si="46"/>
        <v xml:space="preserve">(WA) - KING </v>
      </c>
      <c r="BZ194" s="80">
        <v>741750</v>
      </c>
    </row>
    <row r="195" spans="42:78" ht="15.75" thickBot="1" x14ac:dyDescent="0.3">
      <c r="AP195" s="72" t="s">
        <v>855</v>
      </c>
      <c r="AQ195" s="73" t="s">
        <v>1112</v>
      </c>
      <c r="AR195" s="74" t="str">
        <f t="shared" si="52"/>
        <v>(VA) - HENRICO</v>
      </c>
      <c r="AS195" s="75">
        <v>535900</v>
      </c>
      <c r="AU195" s="35" t="s">
        <v>855</v>
      </c>
      <c r="AV195" s="36" t="s">
        <v>1156</v>
      </c>
      <c r="AW195" s="74" t="str">
        <f t="shared" si="50"/>
        <v>(VA) - MATHEWS</v>
      </c>
      <c r="AX195" s="76">
        <v>458850</v>
      </c>
      <c r="AZ195" s="37" t="s">
        <v>855</v>
      </c>
      <c r="BA195" s="38" t="s">
        <v>1156</v>
      </c>
      <c r="BB195" s="74" t="str">
        <f t="shared" si="51"/>
        <v>(VA) - MATHEWS</v>
      </c>
      <c r="BC195" s="76">
        <v>458850</v>
      </c>
      <c r="BE195" s="39" t="s">
        <v>855</v>
      </c>
      <c r="BF195" s="40" t="s">
        <v>1119</v>
      </c>
      <c r="BG195" s="41" t="str">
        <f t="shared" si="44"/>
        <v>(VA) - KING WILLIAM</v>
      </c>
      <c r="BH195" s="77">
        <v>535900</v>
      </c>
      <c r="BK195" s="37" t="s">
        <v>855</v>
      </c>
      <c r="BL195" s="38" t="s">
        <v>1167</v>
      </c>
      <c r="BM195" s="43" t="str">
        <f t="shared" si="49"/>
        <v>(VA) - FALLS CHURCH</v>
      </c>
      <c r="BN195" s="76">
        <v>679650</v>
      </c>
      <c r="BQ195" s="38" t="s">
        <v>670</v>
      </c>
      <c r="BR195" s="37" t="s">
        <v>572</v>
      </c>
      <c r="BS195" s="78" t="str">
        <f t="shared" si="45"/>
        <v>(GU) - GUAM</v>
      </c>
      <c r="BT195" s="79">
        <v>726525</v>
      </c>
      <c r="BW195" s="38" t="s">
        <v>958</v>
      </c>
      <c r="BX195" s="37" t="s">
        <v>953</v>
      </c>
      <c r="BY195" s="78" t="str">
        <f t="shared" si="46"/>
        <v xml:space="preserve">(WA) - PIERCE </v>
      </c>
      <c r="BZ195" s="80">
        <v>741750</v>
      </c>
    </row>
    <row r="196" spans="42:78" ht="15.75" thickBot="1" x14ac:dyDescent="0.3">
      <c r="AP196" s="72" t="s">
        <v>855</v>
      </c>
      <c r="AQ196" s="73" t="s">
        <v>1176</v>
      </c>
      <c r="AR196" s="74" t="str">
        <f t="shared" si="52"/>
        <v>(VA) - HOPEWELL CITY</v>
      </c>
      <c r="AS196" s="75">
        <v>535900</v>
      </c>
      <c r="AU196" s="35" t="s">
        <v>855</v>
      </c>
      <c r="AV196" s="36" t="s">
        <v>1182</v>
      </c>
      <c r="AW196" s="74" t="str">
        <f t="shared" si="50"/>
        <v>(VA) - NELSON</v>
      </c>
      <c r="AX196" s="76">
        <v>437000</v>
      </c>
      <c r="AZ196" s="37" t="s">
        <v>855</v>
      </c>
      <c r="BA196" s="38" t="s">
        <v>1182</v>
      </c>
      <c r="BB196" s="74" t="str">
        <f t="shared" si="51"/>
        <v>(VA) - NELSON</v>
      </c>
      <c r="BC196" s="76">
        <v>437000</v>
      </c>
      <c r="BE196" s="39" t="s">
        <v>855</v>
      </c>
      <c r="BF196" s="40" t="s">
        <v>1076</v>
      </c>
      <c r="BG196" s="41" t="str">
        <f t="shared" ref="BG196:BG240" si="53">CONCATENATE("(",BE196,") - ",BF196)</f>
        <v>(VA) - LANCASTER</v>
      </c>
      <c r="BH196" s="77">
        <v>442750</v>
      </c>
      <c r="BK196" s="37" t="s">
        <v>855</v>
      </c>
      <c r="BL196" s="38" t="s">
        <v>1071</v>
      </c>
      <c r="BM196" s="43" t="str">
        <f t="shared" si="49"/>
        <v>(VA) - FREDERICKSBURG</v>
      </c>
      <c r="BN196" s="76">
        <v>679650</v>
      </c>
      <c r="BQ196" s="38" t="s">
        <v>826</v>
      </c>
      <c r="BR196" s="37" t="s">
        <v>809</v>
      </c>
      <c r="BS196" s="78" t="str">
        <f t="shared" ref="BS196:BS201" si="54">CONCATENATE("(",BR196,") - ",BQ196)</f>
        <v>(MP) - NORTHERN ISLAND</v>
      </c>
      <c r="BT196" s="79">
        <v>524400</v>
      </c>
      <c r="BW196" s="38" t="s">
        <v>967</v>
      </c>
      <c r="BX196" s="37" t="s">
        <v>953</v>
      </c>
      <c r="BY196" s="78" t="str">
        <f>CONCATENATE("(",BX196,") - ",BW196)</f>
        <v xml:space="preserve">(WA) - SNOHOMISH </v>
      </c>
      <c r="BZ196" s="80">
        <v>741750</v>
      </c>
    </row>
    <row r="197" spans="42:78" ht="15.75" thickBot="1" x14ac:dyDescent="0.3">
      <c r="AP197" s="72" t="s">
        <v>855</v>
      </c>
      <c r="AQ197" s="73" t="s">
        <v>1183</v>
      </c>
      <c r="AR197" s="74" t="str">
        <f t="shared" si="52"/>
        <v>(VA) - ISLE OF WRIGHT</v>
      </c>
      <c r="AS197" s="75">
        <v>458850</v>
      </c>
      <c r="AU197" s="35" t="s">
        <v>855</v>
      </c>
      <c r="AV197" s="36" t="s">
        <v>1134</v>
      </c>
      <c r="AW197" s="74" t="str">
        <f t="shared" si="50"/>
        <v>(VA) - NEW KENT</v>
      </c>
      <c r="AX197" s="76">
        <v>535900</v>
      </c>
      <c r="AZ197" s="37" t="s">
        <v>855</v>
      </c>
      <c r="BA197" s="38" t="s">
        <v>1134</v>
      </c>
      <c r="BB197" s="74" t="str">
        <f t="shared" si="51"/>
        <v>(VA) - NEW KENT</v>
      </c>
      <c r="BC197" s="76">
        <v>535900</v>
      </c>
      <c r="BE197" s="39" t="s">
        <v>855</v>
      </c>
      <c r="BF197" s="40" t="s">
        <v>1080</v>
      </c>
      <c r="BG197" s="41" t="str">
        <f t="shared" si="53"/>
        <v>(VA) - LOUDOUN</v>
      </c>
      <c r="BH197" s="77">
        <v>636150</v>
      </c>
      <c r="BK197" s="37" t="s">
        <v>855</v>
      </c>
      <c r="BL197" s="38" t="s">
        <v>1184</v>
      </c>
      <c r="BM197" s="43" t="str">
        <f t="shared" ref="BM197:BM215" si="55">CONCATENATE("(",BK197,") - ",BL197)</f>
        <v>(VA) - HAMPTON</v>
      </c>
      <c r="BN197" s="76">
        <v>458850</v>
      </c>
      <c r="BQ197" s="38" t="s">
        <v>830</v>
      </c>
      <c r="BR197" s="37" t="s">
        <v>809</v>
      </c>
      <c r="BS197" s="78" t="str">
        <f t="shared" si="54"/>
        <v>(MP) - SAIPAN</v>
      </c>
      <c r="BT197" s="79">
        <v>529000</v>
      </c>
      <c r="BW197" s="38" t="s">
        <v>631</v>
      </c>
      <c r="BX197" s="37" t="s">
        <v>971</v>
      </c>
      <c r="BY197" s="78" t="str">
        <f>CONCATENATE("(",BX197,") - ",BW197)</f>
        <v xml:space="preserve">(WV) - JEFFERSON </v>
      </c>
      <c r="BZ197" s="80">
        <v>765600</v>
      </c>
    </row>
    <row r="198" spans="42:78" ht="15.75" thickBot="1" x14ac:dyDescent="0.3">
      <c r="AP198" s="72" t="s">
        <v>855</v>
      </c>
      <c r="AQ198" s="73" t="s">
        <v>1144</v>
      </c>
      <c r="AR198" s="74" t="str">
        <f t="shared" si="52"/>
        <v>(VA) - JAMES CITY</v>
      </c>
      <c r="AS198" s="75">
        <v>458850</v>
      </c>
      <c r="AU198" s="35" t="s">
        <v>855</v>
      </c>
      <c r="AV198" s="36" t="s">
        <v>1138</v>
      </c>
      <c r="AW198" s="74" t="str">
        <f t="shared" si="50"/>
        <v>(VA) - POWHATAN</v>
      </c>
      <c r="AX198" s="76">
        <v>535900</v>
      </c>
      <c r="AZ198" s="37" t="s">
        <v>855</v>
      </c>
      <c r="BA198" s="38" t="s">
        <v>1138</v>
      </c>
      <c r="BB198" s="74" t="str">
        <f t="shared" si="51"/>
        <v>(VA) - POWHATAN</v>
      </c>
      <c r="BC198" s="76">
        <v>535900</v>
      </c>
      <c r="BE198" s="39" t="s">
        <v>855</v>
      </c>
      <c r="BF198" s="40" t="s">
        <v>1130</v>
      </c>
      <c r="BG198" s="41" t="str">
        <f t="shared" si="53"/>
        <v>(VA) - LOUISA</v>
      </c>
      <c r="BH198" s="77">
        <v>535900</v>
      </c>
      <c r="BK198" s="37" t="s">
        <v>855</v>
      </c>
      <c r="BL198" s="38" t="s">
        <v>1168</v>
      </c>
      <c r="BM198" s="43" t="str">
        <f t="shared" si="55"/>
        <v>(VA) - HOPEWELL</v>
      </c>
      <c r="BN198" s="76">
        <v>535900</v>
      </c>
      <c r="BQ198" s="38" t="s">
        <v>835</v>
      </c>
      <c r="BR198" s="37" t="s">
        <v>809</v>
      </c>
      <c r="BS198" s="78" t="str">
        <f t="shared" si="54"/>
        <v>(MP) - TINIAN</v>
      </c>
      <c r="BT198" s="79">
        <v>532450</v>
      </c>
      <c r="BW198" s="38" t="s">
        <v>612</v>
      </c>
      <c r="BX198" s="37" t="s">
        <v>975</v>
      </c>
      <c r="BY198" s="78" t="str">
        <f>CONCATENATE("(",BX198,") - ",BW198)</f>
        <v xml:space="preserve">(WY) - TETON </v>
      </c>
      <c r="BZ198" s="80">
        <v>765600</v>
      </c>
    </row>
    <row r="199" spans="42:78" ht="15.75" thickBot="1" x14ac:dyDescent="0.3">
      <c r="AP199" s="72" t="s">
        <v>855</v>
      </c>
      <c r="AQ199" s="73" t="s">
        <v>1115</v>
      </c>
      <c r="AR199" s="74" t="str">
        <f t="shared" si="52"/>
        <v>(VA) - KING AND QUEEN</v>
      </c>
      <c r="AS199" s="75">
        <v>535900</v>
      </c>
      <c r="AU199" s="35" t="s">
        <v>855</v>
      </c>
      <c r="AV199" s="36" t="s">
        <v>1141</v>
      </c>
      <c r="AW199" s="74" t="str">
        <f t="shared" si="50"/>
        <v>(VA) - PRINCE GEORGE</v>
      </c>
      <c r="AX199" s="76">
        <v>535900</v>
      </c>
      <c r="AZ199" s="37" t="s">
        <v>855</v>
      </c>
      <c r="BA199" s="38" t="s">
        <v>1141</v>
      </c>
      <c r="BB199" s="74" t="str">
        <f t="shared" si="51"/>
        <v>(VA) - PRINCE GEORGE</v>
      </c>
      <c r="BC199" s="76">
        <v>535900</v>
      </c>
      <c r="BE199" s="39" t="s">
        <v>855</v>
      </c>
      <c r="BF199" s="40" t="s">
        <v>1156</v>
      </c>
      <c r="BG199" s="41" t="str">
        <f t="shared" si="53"/>
        <v>(VA) - MATHEWS</v>
      </c>
      <c r="BH199" s="77">
        <v>458850</v>
      </c>
      <c r="BK199" s="37" t="s">
        <v>855</v>
      </c>
      <c r="BL199" s="38" t="s">
        <v>1170</v>
      </c>
      <c r="BM199" s="43" t="str">
        <f t="shared" si="55"/>
        <v>(VA) - MANASSAS</v>
      </c>
      <c r="BN199" s="76">
        <v>679650</v>
      </c>
      <c r="BQ199" s="38" t="s">
        <v>1185</v>
      </c>
      <c r="BR199" s="37" t="s">
        <v>938</v>
      </c>
      <c r="BS199" s="78" t="str">
        <f t="shared" si="54"/>
        <v>(VI) - ST. CROIX</v>
      </c>
      <c r="BT199" s="79">
        <v>726525</v>
      </c>
      <c r="BW199" s="38"/>
      <c r="BX199" s="37"/>
      <c r="BY199" s="78"/>
      <c r="BZ199" s="88"/>
    </row>
    <row r="200" spans="42:78" ht="15.75" thickBot="1" x14ac:dyDescent="0.3">
      <c r="AP200" s="72" t="s">
        <v>855</v>
      </c>
      <c r="AQ200" s="73" t="s">
        <v>1119</v>
      </c>
      <c r="AR200" s="74" t="str">
        <f t="shared" si="52"/>
        <v>(VA) - KING WILLIAM</v>
      </c>
      <c r="AS200" s="75">
        <v>535900</v>
      </c>
      <c r="AU200" s="35" t="s">
        <v>855</v>
      </c>
      <c r="AV200" s="36" t="s">
        <v>1089</v>
      </c>
      <c r="AW200" s="74" t="str">
        <f t="shared" si="50"/>
        <v>(VA) - PRINCE WILLIAM</v>
      </c>
      <c r="AX200" s="76">
        <v>625500</v>
      </c>
      <c r="AZ200" s="37" t="s">
        <v>855</v>
      </c>
      <c r="BA200" s="38" t="s">
        <v>1089</v>
      </c>
      <c r="BB200" s="74" t="str">
        <f t="shared" si="51"/>
        <v>(VA) - PRINCE WILLIAM</v>
      </c>
      <c r="BC200" s="76">
        <v>625500</v>
      </c>
      <c r="BE200" s="39" t="s">
        <v>855</v>
      </c>
      <c r="BF200" s="40" t="s">
        <v>1182</v>
      </c>
      <c r="BG200" s="41" t="str">
        <f t="shared" si="53"/>
        <v>(VA) - NELSON</v>
      </c>
      <c r="BH200" s="77">
        <v>437000</v>
      </c>
      <c r="BK200" s="37" t="s">
        <v>855</v>
      </c>
      <c r="BL200" s="38" t="s">
        <v>1172</v>
      </c>
      <c r="BM200" s="43" t="str">
        <f t="shared" si="55"/>
        <v>(VA) - MANASSAS PARK</v>
      </c>
      <c r="BN200" s="76">
        <v>679650</v>
      </c>
      <c r="BQ200" s="38" t="s">
        <v>1186</v>
      </c>
      <c r="BR200" s="37" t="s">
        <v>938</v>
      </c>
      <c r="BS200" s="78" t="str">
        <f t="shared" si="54"/>
        <v>(VI) - ST. JOHN,VI</v>
      </c>
      <c r="BT200" s="79">
        <v>726525</v>
      </c>
      <c r="BW200" s="38"/>
      <c r="BX200" s="37"/>
      <c r="BY200" s="78"/>
      <c r="BZ200" s="88"/>
    </row>
    <row r="201" spans="42:78" ht="15.75" thickBot="1" x14ac:dyDescent="0.3">
      <c r="AP201" s="72" t="s">
        <v>855</v>
      </c>
      <c r="AQ201" s="73" t="s">
        <v>1076</v>
      </c>
      <c r="AR201" s="74" t="str">
        <f t="shared" si="52"/>
        <v>(VA) - LANCASTER</v>
      </c>
      <c r="AS201" s="75">
        <v>475000</v>
      </c>
      <c r="AU201" s="35" t="s">
        <v>855</v>
      </c>
      <c r="AV201" s="36" t="s">
        <v>1094</v>
      </c>
      <c r="AW201" s="74" t="str">
        <f>CONCATENATE("(",AU201,") - ",AV201)</f>
        <v>(VA) - RAPPAHANNOCK</v>
      </c>
      <c r="AX201" s="76">
        <v>625500</v>
      </c>
      <c r="AZ201" s="37" t="s">
        <v>855</v>
      </c>
      <c r="BA201" s="38" t="s">
        <v>1094</v>
      </c>
      <c r="BB201" s="74" t="str">
        <f>CONCATENATE("(",AZ201,") - ",BA201)</f>
        <v>(VA) - RAPPAHANNOCK</v>
      </c>
      <c r="BC201" s="76">
        <v>625500</v>
      </c>
      <c r="BE201" s="39" t="s">
        <v>855</v>
      </c>
      <c r="BF201" s="40" t="s">
        <v>1134</v>
      </c>
      <c r="BG201" s="41" t="str">
        <f t="shared" si="53"/>
        <v>(VA) - NEW KENT</v>
      </c>
      <c r="BH201" s="77">
        <v>535900</v>
      </c>
      <c r="BK201" s="37" t="s">
        <v>855</v>
      </c>
      <c r="BL201" s="38" t="s">
        <v>1187</v>
      </c>
      <c r="BM201" s="43" t="str">
        <f t="shared" si="55"/>
        <v>(VA) - NEWPORT NEWS</v>
      </c>
      <c r="BN201" s="76">
        <v>458850</v>
      </c>
      <c r="BQ201" s="38" t="s">
        <v>1188</v>
      </c>
      <c r="BR201" s="37" t="s">
        <v>938</v>
      </c>
      <c r="BS201" s="78" t="str">
        <f t="shared" si="54"/>
        <v>(VI) - ST. THOMAS</v>
      </c>
      <c r="BT201" s="79">
        <v>726525</v>
      </c>
      <c r="BW201" s="38"/>
      <c r="BX201" s="37"/>
      <c r="BY201" s="78"/>
      <c r="BZ201" s="88"/>
    </row>
    <row r="202" spans="42:78" ht="15.75" thickBot="1" x14ac:dyDescent="0.3">
      <c r="AP202" s="72" t="s">
        <v>855</v>
      </c>
      <c r="AQ202" s="73" t="s">
        <v>1080</v>
      </c>
      <c r="AR202" s="74" t="str">
        <f t="shared" si="52"/>
        <v>(VA) - LOUDOUN</v>
      </c>
      <c r="AS202" s="75">
        <v>692500</v>
      </c>
      <c r="AU202" s="35" t="s">
        <v>855</v>
      </c>
      <c r="AV202" s="36" t="s">
        <v>1098</v>
      </c>
      <c r="AW202" s="74" t="str">
        <f>CONCATENATE("(",AU202,") - ",AV202)</f>
        <v>(VA) - SPOTSYLVANIA</v>
      </c>
      <c r="AX202" s="76">
        <v>625500</v>
      </c>
      <c r="AZ202" s="37" t="s">
        <v>855</v>
      </c>
      <c r="BA202" s="38" t="s">
        <v>1098</v>
      </c>
      <c r="BB202" s="74" t="str">
        <f>CONCATENATE("(",AZ202,") - ",BA202)</f>
        <v>(VA) - SPOTSYLVANIA</v>
      </c>
      <c r="BC202" s="76">
        <v>625500</v>
      </c>
      <c r="BE202" s="39" t="s">
        <v>855</v>
      </c>
      <c r="BF202" s="40" t="s">
        <v>1138</v>
      </c>
      <c r="BG202" s="41" t="str">
        <f t="shared" si="53"/>
        <v>(VA) - POWHATAN</v>
      </c>
      <c r="BH202" s="77">
        <v>535900</v>
      </c>
      <c r="BK202" s="37" t="s">
        <v>855</v>
      </c>
      <c r="BL202" s="38" t="s">
        <v>735</v>
      </c>
      <c r="BM202" s="43" t="str">
        <f t="shared" si="55"/>
        <v>(VA) - NORFOLK</v>
      </c>
      <c r="BN202" s="76">
        <v>458850</v>
      </c>
    </row>
    <row r="203" spans="42:78" ht="15.75" thickBot="1" x14ac:dyDescent="0.3">
      <c r="AP203" s="72" t="s">
        <v>855</v>
      </c>
      <c r="AQ203" s="73" t="s">
        <v>1130</v>
      </c>
      <c r="AR203" s="74" t="str">
        <f t="shared" si="52"/>
        <v>(VA) - LOUISA</v>
      </c>
      <c r="AS203" s="75">
        <v>535900</v>
      </c>
      <c r="AU203" s="35" t="s">
        <v>855</v>
      </c>
      <c r="AV203" s="36" t="s">
        <v>1102</v>
      </c>
      <c r="AW203" s="74" t="str">
        <f>CONCATENATE("(",AU203,") - ",AV203)</f>
        <v>(VA) - STAFFORD</v>
      </c>
      <c r="AX203" s="76">
        <v>625500</v>
      </c>
      <c r="AZ203" s="37" t="s">
        <v>855</v>
      </c>
      <c r="BA203" s="38" t="s">
        <v>1102</v>
      </c>
      <c r="BB203" s="74" t="str">
        <f>CONCATENATE("(",AZ203,") - ",BA203)</f>
        <v>(VA) - STAFFORD</v>
      </c>
      <c r="BC203" s="76">
        <v>625500</v>
      </c>
      <c r="BE203" s="39" t="s">
        <v>855</v>
      </c>
      <c r="BF203" s="40" t="s">
        <v>1141</v>
      </c>
      <c r="BG203" s="41" t="str">
        <f t="shared" si="53"/>
        <v>(VA) - PRINCE GEORGE</v>
      </c>
      <c r="BH203" s="77">
        <v>535900</v>
      </c>
      <c r="BK203" s="37" t="s">
        <v>855</v>
      </c>
      <c r="BL203" s="38" t="s">
        <v>1174</v>
      </c>
      <c r="BM203" s="43" t="str">
        <f t="shared" si="55"/>
        <v>(VA) - PETERSBURG</v>
      </c>
      <c r="BN203" s="76">
        <v>535900</v>
      </c>
    </row>
    <row r="204" spans="42:78" ht="15.75" thickBot="1" x14ac:dyDescent="0.3">
      <c r="AP204" s="72" t="s">
        <v>855</v>
      </c>
      <c r="AQ204" s="73" t="s">
        <v>1059</v>
      </c>
      <c r="AR204" s="74" t="str">
        <f t="shared" si="52"/>
        <v>(VA) - MANASSAS CITY</v>
      </c>
      <c r="AS204" s="75">
        <v>692500</v>
      </c>
      <c r="AU204" s="35" t="s">
        <v>855</v>
      </c>
      <c r="AV204" s="36" t="s">
        <v>1171</v>
      </c>
      <c r="AW204" s="74" t="str">
        <f t="shared" ref="AW204:AW236" si="56">CONCATENATE("(",AU204,") - ",AV204)</f>
        <v>(VA) - SURRY</v>
      </c>
      <c r="AX204" s="76">
        <v>458850</v>
      </c>
      <c r="AZ204" s="37" t="s">
        <v>855</v>
      </c>
      <c r="BA204" s="38" t="s">
        <v>1171</v>
      </c>
      <c r="BB204" s="74" t="str">
        <f t="shared" ref="BB204:BB236" si="57">CONCATENATE("(",AZ204,") - ",BA204)</f>
        <v>(VA) - SURRY</v>
      </c>
      <c r="BC204" s="76">
        <v>458850</v>
      </c>
      <c r="BE204" s="39" t="s">
        <v>855</v>
      </c>
      <c r="BF204" s="40" t="s">
        <v>1089</v>
      </c>
      <c r="BG204" s="41" t="str">
        <f t="shared" si="53"/>
        <v>(VA) - PRINCE WILLIAM</v>
      </c>
      <c r="BH204" s="77">
        <v>636150</v>
      </c>
      <c r="BK204" s="37" t="s">
        <v>855</v>
      </c>
      <c r="BL204" s="38" t="s">
        <v>1189</v>
      </c>
      <c r="BM204" s="43" t="str">
        <f t="shared" si="55"/>
        <v>(VA) - POQUOSON</v>
      </c>
      <c r="BN204" s="76">
        <v>458850</v>
      </c>
    </row>
    <row r="205" spans="42:78" ht="15.75" thickBot="1" x14ac:dyDescent="0.3">
      <c r="AP205" s="72" t="s">
        <v>855</v>
      </c>
      <c r="AQ205" s="73" t="s">
        <v>1085</v>
      </c>
      <c r="AR205" s="74" t="str">
        <f t="shared" si="52"/>
        <v>(VA) - MANASSAS PARK C</v>
      </c>
      <c r="AS205" s="75">
        <v>692500</v>
      </c>
      <c r="AU205" s="35" t="s">
        <v>855</v>
      </c>
      <c r="AV205" s="36" t="s">
        <v>868</v>
      </c>
      <c r="AW205" s="74" t="str">
        <f t="shared" si="56"/>
        <v>(VA) - SUSSEX</v>
      </c>
      <c r="AX205" s="76">
        <v>535900</v>
      </c>
      <c r="AZ205" s="37" t="s">
        <v>855</v>
      </c>
      <c r="BA205" s="38" t="s">
        <v>868</v>
      </c>
      <c r="BB205" s="74" t="str">
        <f t="shared" si="57"/>
        <v>(VA) - SUSSEX</v>
      </c>
      <c r="BC205" s="76">
        <v>535900</v>
      </c>
      <c r="BE205" s="39" t="s">
        <v>855</v>
      </c>
      <c r="BF205" s="40" t="s">
        <v>1094</v>
      </c>
      <c r="BG205" s="41" t="str">
        <f t="shared" si="53"/>
        <v>(VA) - RAPPAHANNOCK</v>
      </c>
      <c r="BH205" s="77">
        <v>636150</v>
      </c>
      <c r="BK205" s="37" t="s">
        <v>855</v>
      </c>
      <c r="BL205" s="38" t="s">
        <v>1190</v>
      </c>
      <c r="BM205" s="43" t="str">
        <f t="shared" si="55"/>
        <v>(VA) - PORTSMOUTH</v>
      </c>
      <c r="BN205" s="76">
        <v>458850</v>
      </c>
    </row>
    <row r="206" spans="42:78" ht="15.75" thickBot="1" x14ac:dyDescent="0.3">
      <c r="AP206" s="72" t="s">
        <v>855</v>
      </c>
      <c r="AQ206" s="73" t="s">
        <v>1156</v>
      </c>
      <c r="AR206" s="74" t="str">
        <f t="shared" si="52"/>
        <v>(VA) - MATHEWS</v>
      </c>
      <c r="AS206" s="75">
        <v>458850</v>
      </c>
      <c r="AU206" s="35" t="s">
        <v>855</v>
      </c>
      <c r="AV206" s="36" t="s">
        <v>1105</v>
      </c>
      <c r="AW206" s="74" t="str">
        <f t="shared" si="56"/>
        <v>(VA) - WARREN</v>
      </c>
      <c r="AX206" s="76">
        <v>625500</v>
      </c>
      <c r="AZ206" s="37" t="s">
        <v>855</v>
      </c>
      <c r="BA206" s="38" t="s">
        <v>1105</v>
      </c>
      <c r="BB206" s="74" t="str">
        <f t="shared" si="57"/>
        <v>(VA) - WARREN</v>
      </c>
      <c r="BC206" s="76">
        <v>625500</v>
      </c>
      <c r="BE206" s="39" t="s">
        <v>855</v>
      </c>
      <c r="BF206" s="40" t="s">
        <v>1098</v>
      </c>
      <c r="BG206" s="41" t="str">
        <f t="shared" si="53"/>
        <v>(VA) - SPOTSYLVANIA</v>
      </c>
      <c r="BH206" s="77">
        <v>636150</v>
      </c>
      <c r="BK206" s="37" t="s">
        <v>855</v>
      </c>
      <c r="BL206" s="38" t="s">
        <v>1175</v>
      </c>
      <c r="BM206" s="43" t="str">
        <f t="shared" si="55"/>
        <v>(VA) - RICHMOND IND</v>
      </c>
      <c r="BN206" s="76">
        <v>535900</v>
      </c>
    </row>
    <row r="207" spans="42:78" ht="15.75" thickBot="1" x14ac:dyDescent="0.3">
      <c r="AP207" s="72" t="s">
        <v>855</v>
      </c>
      <c r="AQ207" s="73" t="s">
        <v>1182</v>
      </c>
      <c r="AR207" s="74" t="str">
        <f t="shared" si="52"/>
        <v>(VA) - NELSON</v>
      </c>
      <c r="AS207" s="75">
        <v>437000</v>
      </c>
      <c r="AU207" s="35" t="s">
        <v>855</v>
      </c>
      <c r="AV207" s="36" t="s">
        <v>1177</v>
      </c>
      <c r="AW207" s="74" t="str">
        <f t="shared" si="56"/>
        <v>(VA) - YORK</v>
      </c>
      <c r="AX207" s="76">
        <v>458850</v>
      </c>
      <c r="AZ207" s="37" t="s">
        <v>855</v>
      </c>
      <c r="BA207" s="38" t="s">
        <v>1177</v>
      </c>
      <c r="BB207" s="74" t="str">
        <f t="shared" si="57"/>
        <v>(VA) - YORK</v>
      </c>
      <c r="BC207" s="76">
        <v>458850</v>
      </c>
      <c r="BE207" s="39" t="s">
        <v>855</v>
      </c>
      <c r="BF207" s="40" t="s">
        <v>1102</v>
      </c>
      <c r="BG207" s="41" t="str">
        <f t="shared" si="53"/>
        <v>(VA) - STAFFORD</v>
      </c>
      <c r="BH207" s="77">
        <v>636150</v>
      </c>
      <c r="BK207" s="37" t="s">
        <v>855</v>
      </c>
      <c r="BL207" s="38" t="s">
        <v>745</v>
      </c>
      <c r="BM207" s="43" t="str">
        <f t="shared" si="55"/>
        <v>(VA) - SUFFOLK</v>
      </c>
      <c r="BN207" s="76">
        <v>458850</v>
      </c>
    </row>
    <row r="208" spans="42:78" ht="15.75" thickBot="1" x14ac:dyDescent="0.3">
      <c r="AP208" s="72" t="s">
        <v>855</v>
      </c>
      <c r="AQ208" s="73" t="s">
        <v>1134</v>
      </c>
      <c r="AR208" s="74" t="str">
        <f t="shared" si="52"/>
        <v>(VA) - NEW KENT</v>
      </c>
      <c r="AS208" s="75">
        <v>535900</v>
      </c>
      <c r="AU208" s="35" t="s">
        <v>855</v>
      </c>
      <c r="AV208" s="36" t="s">
        <v>1160</v>
      </c>
      <c r="AW208" s="74" t="str">
        <f t="shared" si="56"/>
        <v>(VA) - ALEXANDRIA</v>
      </c>
      <c r="AX208" s="76">
        <v>625500</v>
      </c>
      <c r="AZ208" s="37" t="s">
        <v>855</v>
      </c>
      <c r="BA208" s="38" t="s">
        <v>1160</v>
      </c>
      <c r="BB208" s="74" t="str">
        <f t="shared" si="57"/>
        <v>(VA) - ALEXANDRIA</v>
      </c>
      <c r="BC208" s="76">
        <v>625500</v>
      </c>
      <c r="BE208" s="39" t="s">
        <v>855</v>
      </c>
      <c r="BF208" s="40" t="s">
        <v>1171</v>
      </c>
      <c r="BG208" s="41" t="str">
        <f t="shared" si="53"/>
        <v>(VA) - SURRY</v>
      </c>
      <c r="BH208" s="77">
        <v>458850</v>
      </c>
      <c r="BK208" s="37" t="s">
        <v>855</v>
      </c>
      <c r="BL208" s="38" t="s">
        <v>1191</v>
      </c>
      <c r="BM208" s="43" t="str">
        <f t="shared" si="55"/>
        <v>(VA) - VIRGINIA BEACH</v>
      </c>
      <c r="BN208" s="76">
        <v>458850</v>
      </c>
    </row>
    <row r="209" spans="42:66" ht="15.75" thickBot="1" x14ac:dyDescent="0.3">
      <c r="AP209" s="72" t="s">
        <v>855</v>
      </c>
      <c r="AQ209" s="73" t="s">
        <v>1187</v>
      </c>
      <c r="AR209" s="74" t="str">
        <f t="shared" si="52"/>
        <v>(VA) - NEWPORT NEWS</v>
      </c>
      <c r="AS209" s="75">
        <v>458850</v>
      </c>
      <c r="AU209" s="35" t="s">
        <v>855</v>
      </c>
      <c r="AV209" s="36" t="s">
        <v>1149</v>
      </c>
      <c r="AW209" s="74" t="str">
        <f t="shared" si="56"/>
        <v>(VA) - CHARLOTTESVILLE</v>
      </c>
      <c r="AX209" s="76">
        <v>437000</v>
      </c>
      <c r="AZ209" s="37" t="s">
        <v>855</v>
      </c>
      <c r="BA209" s="38" t="s">
        <v>1149</v>
      </c>
      <c r="BB209" s="74" t="str">
        <f t="shared" si="57"/>
        <v>(VA) - CHARLOTTESVILLE</v>
      </c>
      <c r="BC209" s="76">
        <v>437000</v>
      </c>
      <c r="BE209" s="39" t="s">
        <v>855</v>
      </c>
      <c r="BF209" s="40" t="s">
        <v>868</v>
      </c>
      <c r="BG209" s="41" t="str">
        <f t="shared" si="53"/>
        <v>(VA) - SUSSEX</v>
      </c>
      <c r="BH209" s="77">
        <v>535900</v>
      </c>
      <c r="BK209" s="37" t="s">
        <v>855</v>
      </c>
      <c r="BL209" s="38" t="s">
        <v>1192</v>
      </c>
      <c r="BM209" s="43" t="str">
        <f t="shared" si="55"/>
        <v>(VA) - WILLIAMSBURG</v>
      </c>
      <c r="BN209" s="76">
        <v>458850</v>
      </c>
    </row>
    <row r="210" spans="42:66" ht="15.75" thickBot="1" x14ac:dyDescent="0.3">
      <c r="AP210" s="72" t="s">
        <v>855</v>
      </c>
      <c r="AQ210" s="73" t="s">
        <v>1193</v>
      </c>
      <c r="AR210" s="74" t="str">
        <f t="shared" si="52"/>
        <v>(VA) - NORFOLK CITY</v>
      </c>
      <c r="AS210" s="75">
        <v>458850</v>
      </c>
      <c r="AU210" s="35" t="s">
        <v>855</v>
      </c>
      <c r="AV210" s="36" t="s">
        <v>1178</v>
      </c>
      <c r="AW210" s="74" t="str">
        <f t="shared" si="56"/>
        <v>(VA) - CHESAPEAKE</v>
      </c>
      <c r="AX210" s="76">
        <v>458850</v>
      </c>
      <c r="AZ210" s="37" t="s">
        <v>855</v>
      </c>
      <c r="BA210" s="38" t="s">
        <v>1178</v>
      </c>
      <c r="BB210" s="74" t="str">
        <f t="shared" si="57"/>
        <v>(VA) - CHESAPEAKE</v>
      </c>
      <c r="BC210" s="76">
        <v>458850</v>
      </c>
      <c r="BE210" s="39" t="s">
        <v>855</v>
      </c>
      <c r="BF210" s="40" t="s">
        <v>1105</v>
      </c>
      <c r="BG210" s="41" t="str">
        <f t="shared" si="53"/>
        <v>(VA) - WARREN</v>
      </c>
      <c r="BH210" s="77">
        <v>636150</v>
      </c>
      <c r="BK210" s="37" t="s">
        <v>953</v>
      </c>
      <c r="BL210" s="38" t="s">
        <v>1118</v>
      </c>
      <c r="BM210" s="43" t="str">
        <f t="shared" si="55"/>
        <v>(WA) - KING</v>
      </c>
      <c r="BN210" s="76">
        <v>667000</v>
      </c>
    </row>
    <row r="211" spans="42:66" ht="15.75" thickBot="1" x14ac:dyDescent="0.3">
      <c r="AP211" s="72" t="s">
        <v>855</v>
      </c>
      <c r="AQ211" s="73" t="s">
        <v>1179</v>
      </c>
      <c r="AR211" s="74" t="str">
        <f t="shared" si="52"/>
        <v>(VA) - PETERSBURG CITY</v>
      </c>
      <c r="AS211" s="75">
        <v>535900</v>
      </c>
      <c r="AU211" s="35" t="s">
        <v>855</v>
      </c>
      <c r="AV211" s="36" t="s">
        <v>1159</v>
      </c>
      <c r="AW211" s="74" t="str">
        <f t="shared" si="56"/>
        <v>(VA) - COLONIAL HEIGHT</v>
      </c>
      <c r="AX211" s="76">
        <v>535900</v>
      </c>
      <c r="AZ211" s="37" t="s">
        <v>855</v>
      </c>
      <c r="BA211" s="38" t="s">
        <v>1159</v>
      </c>
      <c r="BB211" s="74" t="str">
        <f t="shared" si="57"/>
        <v>(VA) - COLONIAL HEIGHT</v>
      </c>
      <c r="BC211" s="76">
        <v>535900</v>
      </c>
      <c r="BE211" s="39" t="s">
        <v>855</v>
      </c>
      <c r="BF211" s="40" t="s">
        <v>1177</v>
      </c>
      <c r="BG211" s="41" t="str">
        <f t="shared" si="53"/>
        <v>(VA) - YORK</v>
      </c>
      <c r="BH211" s="77">
        <v>458850</v>
      </c>
      <c r="BK211" s="37" t="s">
        <v>953</v>
      </c>
      <c r="BL211" s="38" t="s">
        <v>1123</v>
      </c>
      <c r="BM211" s="43" t="str">
        <f t="shared" si="55"/>
        <v>(WA) - PIERCE</v>
      </c>
      <c r="BN211" s="76">
        <v>667000</v>
      </c>
    </row>
    <row r="212" spans="42:66" ht="15.75" thickBot="1" x14ac:dyDescent="0.3">
      <c r="AP212" s="72" t="s">
        <v>855</v>
      </c>
      <c r="AQ212" s="73" t="s">
        <v>1194</v>
      </c>
      <c r="AR212" s="74" t="str">
        <f t="shared" si="52"/>
        <v>(VA) - POQUOSON CITY</v>
      </c>
      <c r="AS212" s="75">
        <v>458850</v>
      </c>
      <c r="AU212" s="35" t="s">
        <v>855</v>
      </c>
      <c r="AV212" s="36" t="s">
        <v>1164</v>
      </c>
      <c r="AW212" s="74" t="str">
        <f t="shared" si="56"/>
        <v>(VA) - FAIRFAX IND</v>
      </c>
      <c r="AX212" s="76">
        <v>625500</v>
      </c>
      <c r="AZ212" s="37" t="s">
        <v>855</v>
      </c>
      <c r="BA212" s="38" t="s">
        <v>1164</v>
      </c>
      <c r="BB212" s="74" t="str">
        <f t="shared" si="57"/>
        <v>(VA) - FAIRFAX IND</v>
      </c>
      <c r="BC212" s="76">
        <v>625500</v>
      </c>
      <c r="BE212" s="39" t="s">
        <v>855</v>
      </c>
      <c r="BF212" s="40" t="s">
        <v>1160</v>
      </c>
      <c r="BG212" s="41" t="str">
        <f t="shared" si="53"/>
        <v>(VA) - ALEXANDRIA</v>
      </c>
      <c r="BH212" s="77">
        <v>636150</v>
      </c>
      <c r="BK212" s="37" t="s">
        <v>953</v>
      </c>
      <c r="BL212" s="38" t="s">
        <v>1129</v>
      </c>
      <c r="BM212" s="43" t="str">
        <f t="shared" si="55"/>
        <v>(WA) - SAN JUAN</v>
      </c>
      <c r="BN212" s="76">
        <v>483000</v>
      </c>
    </row>
    <row r="213" spans="42:66" ht="15.75" thickBot="1" x14ac:dyDescent="0.3">
      <c r="AP213" s="72" t="s">
        <v>855</v>
      </c>
      <c r="AQ213" s="73" t="s">
        <v>1195</v>
      </c>
      <c r="AR213" s="74" t="str">
        <f t="shared" si="52"/>
        <v>(VA) - PORTSMOUTH CITY</v>
      </c>
      <c r="AS213" s="75">
        <v>458850</v>
      </c>
      <c r="AU213" s="35" t="s">
        <v>855</v>
      </c>
      <c r="AV213" s="36" t="s">
        <v>1167</v>
      </c>
      <c r="AW213" s="74" t="str">
        <f t="shared" si="56"/>
        <v>(VA) - FALLS CHURCH</v>
      </c>
      <c r="AX213" s="76">
        <v>625500</v>
      </c>
      <c r="AZ213" s="37" t="s">
        <v>855</v>
      </c>
      <c r="BA213" s="38" t="s">
        <v>1167</v>
      </c>
      <c r="BB213" s="74" t="str">
        <f t="shared" si="57"/>
        <v>(VA) - FALLS CHURCH</v>
      </c>
      <c r="BC213" s="76">
        <v>625500</v>
      </c>
      <c r="BE213" s="39" t="s">
        <v>855</v>
      </c>
      <c r="BF213" s="40" t="s">
        <v>1149</v>
      </c>
      <c r="BG213" s="41" t="str">
        <f t="shared" si="53"/>
        <v>(VA) - CHARLOTTESVILLE</v>
      </c>
      <c r="BH213" s="77">
        <v>437000</v>
      </c>
      <c r="BK213" s="37" t="s">
        <v>953</v>
      </c>
      <c r="BL213" s="38" t="s">
        <v>1133</v>
      </c>
      <c r="BM213" s="43" t="str">
        <f t="shared" si="55"/>
        <v>(WA) - SNOHOMISH</v>
      </c>
      <c r="BN213" s="76">
        <v>667000</v>
      </c>
    </row>
    <row r="214" spans="42:66" ht="15.75" thickBot="1" x14ac:dyDescent="0.3">
      <c r="AP214" s="72" t="s">
        <v>855</v>
      </c>
      <c r="AQ214" s="73" t="s">
        <v>1138</v>
      </c>
      <c r="AR214" s="74" t="str">
        <f t="shared" si="52"/>
        <v>(VA) - POWHATAN</v>
      </c>
      <c r="AS214" s="75">
        <v>535900</v>
      </c>
      <c r="AU214" s="35" t="s">
        <v>855</v>
      </c>
      <c r="AV214" s="36" t="s">
        <v>1071</v>
      </c>
      <c r="AW214" s="74" t="str">
        <f t="shared" si="56"/>
        <v>(VA) - FREDERICKSBURG</v>
      </c>
      <c r="AX214" s="76">
        <v>625500</v>
      </c>
      <c r="AZ214" s="37" t="s">
        <v>855</v>
      </c>
      <c r="BA214" s="38" t="s">
        <v>1071</v>
      </c>
      <c r="BB214" s="74" t="str">
        <f t="shared" si="57"/>
        <v>(VA) - FREDERICKSBURG</v>
      </c>
      <c r="BC214" s="76">
        <v>625500</v>
      </c>
      <c r="BE214" s="39" t="s">
        <v>855</v>
      </c>
      <c r="BF214" s="40" t="s">
        <v>1178</v>
      </c>
      <c r="BG214" s="41" t="str">
        <f t="shared" si="53"/>
        <v>(VA) - CHESAPEAKE</v>
      </c>
      <c r="BH214" s="77">
        <v>458850</v>
      </c>
      <c r="BK214" s="37" t="s">
        <v>971</v>
      </c>
      <c r="BL214" s="38" t="s">
        <v>625</v>
      </c>
      <c r="BM214" s="43" t="str">
        <f t="shared" si="55"/>
        <v>(WV) - JEFFERSON</v>
      </c>
      <c r="BN214" s="76">
        <v>679650</v>
      </c>
    </row>
    <row r="215" spans="42:66" ht="15.75" thickBot="1" x14ac:dyDescent="0.3">
      <c r="AP215" s="72" t="s">
        <v>855</v>
      </c>
      <c r="AQ215" s="73" t="s">
        <v>1141</v>
      </c>
      <c r="AR215" s="74" t="str">
        <f t="shared" si="52"/>
        <v>(VA) - PRINCE GEORGE</v>
      </c>
      <c r="AS215" s="75">
        <v>535900</v>
      </c>
      <c r="AU215" s="35" t="s">
        <v>855</v>
      </c>
      <c r="AV215" s="36" t="s">
        <v>1184</v>
      </c>
      <c r="AW215" s="74" t="str">
        <f t="shared" si="56"/>
        <v>(VA) - HAMPTON</v>
      </c>
      <c r="AX215" s="76">
        <v>458850</v>
      </c>
      <c r="AZ215" s="37" t="s">
        <v>855</v>
      </c>
      <c r="BA215" s="38" t="s">
        <v>1184</v>
      </c>
      <c r="BB215" s="74" t="str">
        <f t="shared" si="57"/>
        <v>(VA) - HAMPTON</v>
      </c>
      <c r="BC215" s="76">
        <v>458850</v>
      </c>
      <c r="BE215" s="39" t="s">
        <v>855</v>
      </c>
      <c r="BF215" s="40" t="s">
        <v>1159</v>
      </c>
      <c r="BG215" s="41" t="str">
        <f t="shared" si="53"/>
        <v>(VA) - COLONIAL HEIGHT</v>
      </c>
      <c r="BH215" s="77">
        <v>535900</v>
      </c>
      <c r="BK215" s="37" t="s">
        <v>975</v>
      </c>
      <c r="BL215" s="38" t="s">
        <v>746</v>
      </c>
      <c r="BM215" s="43" t="str">
        <f t="shared" si="55"/>
        <v>(WY) - TETON</v>
      </c>
      <c r="BN215" s="76">
        <v>679650</v>
      </c>
    </row>
    <row r="216" spans="42:66" ht="15.75" thickBot="1" x14ac:dyDescent="0.3">
      <c r="AP216" s="72" t="s">
        <v>855</v>
      </c>
      <c r="AQ216" s="73" t="s">
        <v>1089</v>
      </c>
      <c r="AR216" s="74" t="str">
        <f t="shared" si="52"/>
        <v>(VA) - PRINCE WILLIAM</v>
      </c>
      <c r="AS216" s="75">
        <v>692500</v>
      </c>
      <c r="AU216" s="35" t="s">
        <v>855</v>
      </c>
      <c r="AV216" s="36" t="s">
        <v>1168</v>
      </c>
      <c r="AW216" s="74" t="str">
        <f t="shared" si="56"/>
        <v>(VA) - HOPEWELL</v>
      </c>
      <c r="AX216" s="76">
        <v>535900</v>
      </c>
      <c r="AZ216" s="37" t="s">
        <v>855</v>
      </c>
      <c r="BA216" s="38" t="s">
        <v>1168</v>
      </c>
      <c r="BB216" s="74" t="str">
        <f t="shared" si="57"/>
        <v>(VA) - HOPEWELL</v>
      </c>
      <c r="BC216" s="76">
        <v>535900</v>
      </c>
      <c r="BE216" s="39" t="s">
        <v>855</v>
      </c>
      <c r="BF216" s="40" t="s">
        <v>1164</v>
      </c>
      <c r="BG216" s="41" t="str">
        <f t="shared" si="53"/>
        <v>(VA) - FAIRFAX IND</v>
      </c>
      <c r="BH216" s="77">
        <v>636150</v>
      </c>
    </row>
    <row r="217" spans="42:66" ht="15.75" thickBot="1" x14ac:dyDescent="0.3">
      <c r="AP217" s="72" t="s">
        <v>855</v>
      </c>
      <c r="AQ217" s="73" t="s">
        <v>1094</v>
      </c>
      <c r="AR217" s="74" t="str">
        <f t="shared" si="52"/>
        <v>(VA) - RAPPAHANNOCK</v>
      </c>
      <c r="AS217" s="75">
        <v>692500</v>
      </c>
      <c r="AU217" s="35" t="s">
        <v>855</v>
      </c>
      <c r="AV217" s="36" t="s">
        <v>1170</v>
      </c>
      <c r="AW217" s="74" t="str">
        <f t="shared" si="56"/>
        <v>(VA) - MANASSAS</v>
      </c>
      <c r="AX217" s="76">
        <v>625500</v>
      </c>
      <c r="AZ217" s="37" t="s">
        <v>855</v>
      </c>
      <c r="BA217" s="38" t="s">
        <v>1170</v>
      </c>
      <c r="BB217" s="74" t="str">
        <f t="shared" si="57"/>
        <v>(VA) - MANASSAS</v>
      </c>
      <c r="BC217" s="76">
        <v>625500</v>
      </c>
      <c r="BE217" s="39" t="s">
        <v>855</v>
      </c>
      <c r="BF217" s="40" t="s">
        <v>1167</v>
      </c>
      <c r="BG217" s="41" t="str">
        <f t="shared" si="53"/>
        <v>(VA) - FALLS CHURCH</v>
      </c>
      <c r="BH217" s="77">
        <v>636150</v>
      </c>
    </row>
    <row r="218" spans="42:66" ht="15.75" thickBot="1" x14ac:dyDescent="0.3">
      <c r="AP218" s="72" t="s">
        <v>855</v>
      </c>
      <c r="AQ218" s="73" t="s">
        <v>1181</v>
      </c>
      <c r="AR218" s="74" t="str">
        <f t="shared" si="52"/>
        <v>(VA) - RICHMOND CITY</v>
      </c>
      <c r="AS218" s="75">
        <v>535900</v>
      </c>
      <c r="AU218" s="35" t="s">
        <v>855</v>
      </c>
      <c r="AV218" s="36" t="s">
        <v>1172</v>
      </c>
      <c r="AW218" s="74" t="str">
        <f t="shared" si="56"/>
        <v>(VA) - MANASSAS PARK</v>
      </c>
      <c r="AX218" s="76">
        <v>625500</v>
      </c>
      <c r="AZ218" s="37" t="s">
        <v>855</v>
      </c>
      <c r="BA218" s="38" t="s">
        <v>1172</v>
      </c>
      <c r="BB218" s="74" t="str">
        <f t="shared" si="57"/>
        <v>(VA) - MANASSAS PARK</v>
      </c>
      <c r="BC218" s="76">
        <v>625500</v>
      </c>
      <c r="BE218" s="39" t="s">
        <v>855</v>
      </c>
      <c r="BF218" s="40" t="s">
        <v>1071</v>
      </c>
      <c r="BG218" s="41" t="str">
        <f t="shared" si="53"/>
        <v>(VA) - FREDERICKSBURG</v>
      </c>
      <c r="BH218" s="77">
        <v>636150</v>
      </c>
    </row>
    <row r="219" spans="42:66" ht="15.75" thickBot="1" x14ac:dyDescent="0.3">
      <c r="AP219" s="72" t="s">
        <v>855</v>
      </c>
      <c r="AQ219" s="73" t="s">
        <v>1098</v>
      </c>
      <c r="AR219" s="74" t="str">
        <f t="shared" si="52"/>
        <v>(VA) - SPOTSYLVANIA</v>
      </c>
      <c r="AS219" s="75">
        <v>692500</v>
      </c>
      <c r="AU219" s="35" t="s">
        <v>855</v>
      </c>
      <c r="AV219" s="36" t="s">
        <v>1187</v>
      </c>
      <c r="AW219" s="74" t="str">
        <f t="shared" si="56"/>
        <v>(VA) - NEWPORT NEWS</v>
      </c>
      <c r="AX219" s="76">
        <v>458850</v>
      </c>
      <c r="AZ219" s="37" t="s">
        <v>855</v>
      </c>
      <c r="BA219" s="38" t="s">
        <v>1187</v>
      </c>
      <c r="BB219" s="74" t="str">
        <f t="shared" si="57"/>
        <v>(VA) - NEWPORT NEWS</v>
      </c>
      <c r="BC219" s="76">
        <v>458850</v>
      </c>
      <c r="BE219" s="39" t="s">
        <v>855</v>
      </c>
      <c r="BF219" s="40" t="s">
        <v>1184</v>
      </c>
      <c r="BG219" s="41" t="str">
        <f t="shared" si="53"/>
        <v>(VA) - HAMPTON</v>
      </c>
      <c r="BH219" s="77">
        <v>458850</v>
      </c>
    </row>
    <row r="220" spans="42:66" ht="15.75" thickBot="1" x14ac:dyDescent="0.3">
      <c r="AP220" s="72" t="s">
        <v>855</v>
      </c>
      <c r="AQ220" s="73" t="s">
        <v>1102</v>
      </c>
      <c r="AR220" s="74" t="str">
        <f t="shared" si="52"/>
        <v>(VA) - STAFFORD</v>
      </c>
      <c r="AS220" s="75">
        <v>692500</v>
      </c>
      <c r="AU220" s="35" t="s">
        <v>855</v>
      </c>
      <c r="AV220" s="36" t="s">
        <v>735</v>
      </c>
      <c r="AW220" s="74" t="str">
        <f t="shared" si="56"/>
        <v>(VA) - NORFOLK</v>
      </c>
      <c r="AX220" s="76">
        <v>458850</v>
      </c>
      <c r="AZ220" s="37" t="s">
        <v>855</v>
      </c>
      <c r="BA220" s="38" t="s">
        <v>735</v>
      </c>
      <c r="BB220" s="74" t="str">
        <f t="shared" si="57"/>
        <v>(VA) - NORFOLK</v>
      </c>
      <c r="BC220" s="76">
        <v>458850</v>
      </c>
      <c r="BE220" s="39" t="s">
        <v>855</v>
      </c>
      <c r="BF220" s="40" t="s">
        <v>1168</v>
      </c>
      <c r="BG220" s="41" t="str">
        <f t="shared" si="53"/>
        <v>(VA) - HOPEWELL</v>
      </c>
      <c r="BH220" s="77">
        <v>535900</v>
      </c>
    </row>
    <row r="221" spans="42:66" ht="15.75" thickBot="1" x14ac:dyDescent="0.3">
      <c r="AP221" s="72" t="s">
        <v>855</v>
      </c>
      <c r="AQ221" s="73" t="s">
        <v>1196</v>
      </c>
      <c r="AR221" s="74" t="str">
        <f t="shared" si="52"/>
        <v>(VA) - SUFFOLK CITY</v>
      </c>
      <c r="AS221" s="75">
        <v>458850</v>
      </c>
      <c r="AU221" s="35" t="s">
        <v>855</v>
      </c>
      <c r="AV221" s="36" t="s">
        <v>1174</v>
      </c>
      <c r="AW221" s="74" t="str">
        <f t="shared" si="56"/>
        <v>(VA) - PETERSBURG</v>
      </c>
      <c r="AX221" s="76">
        <v>535900</v>
      </c>
      <c r="AZ221" s="37" t="s">
        <v>855</v>
      </c>
      <c r="BA221" s="38" t="s">
        <v>1174</v>
      </c>
      <c r="BB221" s="74" t="str">
        <f t="shared" si="57"/>
        <v>(VA) - PETERSBURG</v>
      </c>
      <c r="BC221" s="76">
        <v>535900</v>
      </c>
      <c r="BE221" s="39" t="s">
        <v>855</v>
      </c>
      <c r="BF221" s="40" t="s">
        <v>1170</v>
      </c>
      <c r="BG221" s="41" t="str">
        <f t="shared" si="53"/>
        <v>(VA) - MANASSAS</v>
      </c>
      <c r="BH221" s="77">
        <v>636150</v>
      </c>
    </row>
    <row r="222" spans="42:66" ht="15.75" thickBot="1" x14ac:dyDescent="0.3">
      <c r="AP222" s="72" t="s">
        <v>855</v>
      </c>
      <c r="AQ222" s="73" t="s">
        <v>1171</v>
      </c>
      <c r="AR222" s="74" t="str">
        <f t="shared" si="52"/>
        <v>(VA) - SURRY</v>
      </c>
      <c r="AS222" s="75">
        <v>458850</v>
      </c>
      <c r="AU222" s="35" t="s">
        <v>855</v>
      </c>
      <c r="AV222" s="36" t="s">
        <v>1189</v>
      </c>
      <c r="AW222" s="74" t="str">
        <f t="shared" si="56"/>
        <v>(VA) - POQUOSON</v>
      </c>
      <c r="AX222" s="76">
        <v>458850</v>
      </c>
      <c r="AZ222" s="37" t="s">
        <v>855</v>
      </c>
      <c r="BA222" s="38" t="s">
        <v>1189</v>
      </c>
      <c r="BB222" s="74" t="str">
        <f t="shared" si="57"/>
        <v>(VA) - POQUOSON</v>
      </c>
      <c r="BC222" s="76">
        <v>458850</v>
      </c>
      <c r="BE222" s="39" t="s">
        <v>855</v>
      </c>
      <c r="BF222" s="40" t="s">
        <v>1172</v>
      </c>
      <c r="BG222" s="41" t="str">
        <f t="shared" si="53"/>
        <v>(VA) - MANASSAS PARK</v>
      </c>
      <c r="BH222" s="77">
        <v>636150</v>
      </c>
    </row>
    <row r="223" spans="42:66" ht="15.75" thickBot="1" x14ac:dyDescent="0.3">
      <c r="AP223" s="72" t="s">
        <v>855</v>
      </c>
      <c r="AQ223" s="73" t="s">
        <v>868</v>
      </c>
      <c r="AR223" s="74" t="str">
        <f t="shared" si="52"/>
        <v>(VA) - SUSSEX</v>
      </c>
      <c r="AS223" s="75">
        <v>535900</v>
      </c>
      <c r="AU223" s="35" t="s">
        <v>855</v>
      </c>
      <c r="AV223" s="36" t="s">
        <v>1190</v>
      </c>
      <c r="AW223" s="74" t="str">
        <f t="shared" si="56"/>
        <v>(VA) - PORTSMOUTH</v>
      </c>
      <c r="AX223" s="76">
        <v>458850</v>
      </c>
      <c r="AZ223" s="37" t="s">
        <v>855</v>
      </c>
      <c r="BA223" s="38" t="s">
        <v>1190</v>
      </c>
      <c r="BB223" s="74" t="str">
        <f t="shared" si="57"/>
        <v>(VA) - PORTSMOUTH</v>
      </c>
      <c r="BC223" s="76">
        <v>458850</v>
      </c>
      <c r="BE223" s="39" t="s">
        <v>855</v>
      </c>
      <c r="BF223" s="40" t="s">
        <v>1187</v>
      </c>
      <c r="BG223" s="41" t="str">
        <f t="shared" si="53"/>
        <v>(VA) - NEWPORT NEWS</v>
      </c>
      <c r="BH223" s="77">
        <v>458850</v>
      </c>
    </row>
    <row r="224" spans="42:66" ht="15.75" thickBot="1" x14ac:dyDescent="0.3">
      <c r="AP224" s="72" t="s">
        <v>855</v>
      </c>
      <c r="AQ224" s="73" t="s">
        <v>1191</v>
      </c>
      <c r="AR224" s="74" t="str">
        <f t="shared" si="52"/>
        <v>(VA) - VIRGINIA BEACH</v>
      </c>
      <c r="AS224" s="75">
        <v>458850</v>
      </c>
      <c r="AU224" s="35" t="s">
        <v>855</v>
      </c>
      <c r="AV224" s="36" t="s">
        <v>1175</v>
      </c>
      <c r="AW224" s="74" t="str">
        <f t="shared" si="56"/>
        <v>(VA) - RICHMOND IND</v>
      </c>
      <c r="AX224" s="76">
        <v>535900</v>
      </c>
      <c r="AZ224" s="37" t="s">
        <v>855</v>
      </c>
      <c r="BA224" s="38" t="s">
        <v>1175</v>
      </c>
      <c r="BB224" s="74" t="str">
        <f t="shared" si="57"/>
        <v>(VA) - RICHMOND IND</v>
      </c>
      <c r="BC224" s="76">
        <v>535900</v>
      </c>
      <c r="BE224" s="39" t="s">
        <v>855</v>
      </c>
      <c r="BF224" s="40" t="s">
        <v>735</v>
      </c>
      <c r="BG224" s="41" t="str">
        <f t="shared" si="53"/>
        <v>(VA) - NORFOLK</v>
      </c>
      <c r="BH224" s="77">
        <v>458850</v>
      </c>
    </row>
    <row r="225" spans="42:60" ht="15.75" thickBot="1" x14ac:dyDescent="0.3">
      <c r="AP225" s="72" t="s">
        <v>855</v>
      </c>
      <c r="AQ225" s="73" t="s">
        <v>1105</v>
      </c>
      <c r="AR225" s="74" t="str">
        <f t="shared" si="52"/>
        <v>(VA) - WARREN</v>
      </c>
      <c r="AS225" s="75">
        <v>692500</v>
      </c>
      <c r="AU225" s="35" t="s">
        <v>855</v>
      </c>
      <c r="AV225" s="36" t="s">
        <v>745</v>
      </c>
      <c r="AW225" s="74" t="str">
        <f t="shared" si="56"/>
        <v>(VA) - SUFFOLK</v>
      </c>
      <c r="AX225" s="76">
        <v>458850</v>
      </c>
      <c r="AZ225" s="37" t="s">
        <v>855</v>
      </c>
      <c r="BA225" s="38" t="s">
        <v>745</v>
      </c>
      <c r="BB225" s="74" t="str">
        <f t="shared" si="57"/>
        <v>(VA) - SUFFOLK</v>
      </c>
      <c r="BC225" s="76">
        <v>458850</v>
      </c>
      <c r="BE225" s="39" t="s">
        <v>855</v>
      </c>
      <c r="BF225" s="40" t="s">
        <v>1174</v>
      </c>
      <c r="BG225" s="41" t="str">
        <f t="shared" si="53"/>
        <v>(VA) - PETERSBURG</v>
      </c>
      <c r="BH225" s="77">
        <v>535900</v>
      </c>
    </row>
    <row r="226" spans="42:60" ht="15.75" thickBot="1" x14ac:dyDescent="0.3">
      <c r="AP226" s="72" t="s">
        <v>855</v>
      </c>
      <c r="AQ226" s="73" t="s">
        <v>1197</v>
      </c>
      <c r="AR226" s="74" t="str">
        <f t="shared" si="52"/>
        <v>(VA) - WILLIAMSBURG CI</v>
      </c>
      <c r="AS226" s="75">
        <v>458850</v>
      </c>
      <c r="AU226" s="35" t="s">
        <v>855</v>
      </c>
      <c r="AV226" s="36" t="s">
        <v>1191</v>
      </c>
      <c r="AW226" s="74" t="str">
        <f t="shared" si="56"/>
        <v>(VA) - VIRGINIA BEACH</v>
      </c>
      <c r="AX226" s="76">
        <v>458850</v>
      </c>
      <c r="AZ226" s="37" t="s">
        <v>855</v>
      </c>
      <c r="BA226" s="38" t="s">
        <v>1191</v>
      </c>
      <c r="BB226" s="74" t="str">
        <f t="shared" si="57"/>
        <v>(VA) - VIRGINIA BEACH</v>
      </c>
      <c r="BC226" s="76">
        <v>458850</v>
      </c>
      <c r="BE226" s="39" t="s">
        <v>855</v>
      </c>
      <c r="BF226" s="40" t="s">
        <v>1189</v>
      </c>
      <c r="BG226" s="41" t="str">
        <f t="shared" si="53"/>
        <v>(VA) - POQUOSON</v>
      </c>
      <c r="BH226" s="77">
        <v>458850</v>
      </c>
    </row>
    <row r="227" spans="42:60" ht="15.75" thickBot="1" x14ac:dyDescent="0.3">
      <c r="AP227" s="72" t="s">
        <v>855</v>
      </c>
      <c r="AQ227" s="73" t="s">
        <v>1177</v>
      </c>
      <c r="AR227" s="74" t="str">
        <f t="shared" si="52"/>
        <v>(VA) - YORK</v>
      </c>
      <c r="AS227" s="75">
        <v>458850</v>
      </c>
      <c r="AU227" s="35" t="s">
        <v>855</v>
      </c>
      <c r="AV227" s="36" t="s">
        <v>1192</v>
      </c>
      <c r="AW227" s="74" t="str">
        <f t="shared" si="56"/>
        <v>(VA) - WILLIAMSBURG</v>
      </c>
      <c r="AX227" s="76">
        <v>458850</v>
      </c>
      <c r="AZ227" s="37" t="s">
        <v>855</v>
      </c>
      <c r="BA227" s="38" t="s">
        <v>1192</v>
      </c>
      <c r="BB227" s="74" t="str">
        <f t="shared" si="57"/>
        <v>(VA) - WILLIAMSBURG</v>
      </c>
      <c r="BC227" s="76">
        <v>458850</v>
      </c>
      <c r="BE227" s="39" t="s">
        <v>855</v>
      </c>
      <c r="BF227" s="40" t="s">
        <v>1190</v>
      </c>
      <c r="BG227" s="41" t="str">
        <f t="shared" si="53"/>
        <v>(VA) - PORTSMOUTH</v>
      </c>
      <c r="BH227" s="77">
        <v>458850</v>
      </c>
    </row>
    <row r="228" spans="42:60" ht="15.75" thickBot="1" x14ac:dyDescent="0.3">
      <c r="AP228" s="72" t="s">
        <v>938</v>
      </c>
      <c r="AQ228" s="73" t="s">
        <v>1109</v>
      </c>
      <c r="AR228" s="74" t="str">
        <f t="shared" si="52"/>
        <v>(VI) - ST. CROIX ISLAN</v>
      </c>
      <c r="AS228" s="75">
        <v>625500</v>
      </c>
      <c r="AU228" s="35" t="s">
        <v>938</v>
      </c>
      <c r="AV228" s="36" t="s">
        <v>1185</v>
      </c>
      <c r="AW228" s="74" t="str">
        <f t="shared" si="56"/>
        <v>(VI) - ST. CROIX</v>
      </c>
      <c r="AX228" s="76">
        <v>625500</v>
      </c>
      <c r="AZ228" s="37" t="s">
        <v>938</v>
      </c>
      <c r="BA228" s="38" t="s">
        <v>1185</v>
      </c>
      <c r="BB228" s="74" t="str">
        <f t="shared" si="57"/>
        <v>(VI) - ST. CROIX</v>
      </c>
      <c r="BC228" s="76">
        <v>625500</v>
      </c>
      <c r="BE228" s="39" t="s">
        <v>855</v>
      </c>
      <c r="BF228" s="40" t="s">
        <v>1175</v>
      </c>
      <c r="BG228" s="41" t="str">
        <f t="shared" si="53"/>
        <v>(VA) - RICHMOND IND</v>
      </c>
      <c r="BH228" s="77">
        <v>535900</v>
      </c>
    </row>
    <row r="229" spans="42:60" ht="15.75" thickBot="1" x14ac:dyDescent="0.3">
      <c r="AP229" s="72" t="s">
        <v>938</v>
      </c>
      <c r="AQ229" s="73" t="s">
        <v>1092</v>
      </c>
      <c r="AR229" s="74" t="str">
        <f t="shared" si="52"/>
        <v>(VI) - ST. JOHN ISLAND</v>
      </c>
      <c r="AS229" s="75">
        <v>625500</v>
      </c>
      <c r="AU229" s="35" t="s">
        <v>938</v>
      </c>
      <c r="AV229" s="36" t="s">
        <v>1186</v>
      </c>
      <c r="AW229" s="74" t="str">
        <f t="shared" si="56"/>
        <v>(VI) - ST. JOHN,VI</v>
      </c>
      <c r="AX229" s="76">
        <v>625500</v>
      </c>
      <c r="AZ229" s="37" t="s">
        <v>938</v>
      </c>
      <c r="BA229" s="38" t="s">
        <v>1186</v>
      </c>
      <c r="BB229" s="74" t="str">
        <f t="shared" si="57"/>
        <v>(VI) - ST. JOHN,VI</v>
      </c>
      <c r="BC229" s="76">
        <v>625500</v>
      </c>
      <c r="BE229" s="39" t="s">
        <v>855</v>
      </c>
      <c r="BF229" s="40" t="s">
        <v>745</v>
      </c>
      <c r="BG229" s="41" t="str">
        <f t="shared" si="53"/>
        <v>(VA) - SUFFOLK</v>
      </c>
      <c r="BH229" s="77">
        <v>458850</v>
      </c>
    </row>
    <row r="230" spans="42:60" ht="15.75" thickBot="1" x14ac:dyDescent="0.3">
      <c r="AP230" s="72" t="s">
        <v>938</v>
      </c>
      <c r="AQ230" s="73" t="s">
        <v>1114</v>
      </c>
      <c r="AR230" s="74" t="str">
        <f t="shared" si="52"/>
        <v>(VI) - ST. THOMAS ISLA</v>
      </c>
      <c r="AS230" s="75">
        <v>625500</v>
      </c>
      <c r="AU230" s="35" t="s">
        <v>938</v>
      </c>
      <c r="AV230" s="36" t="s">
        <v>1188</v>
      </c>
      <c r="AW230" s="74" t="str">
        <f t="shared" si="56"/>
        <v>(VI) - ST. THOMAS</v>
      </c>
      <c r="AX230" s="76">
        <v>625500</v>
      </c>
      <c r="AZ230" s="37" t="s">
        <v>938</v>
      </c>
      <c r="BA230" s="38" t="s">
        <v>1188</v>
      </c>
      <c r="BB230" s="74" t="str">
        <f t="shared" si="57"/>
        <v>(VI) - ST. THOMAS</v>
      </c>
      <c r="BC230" s="76">
        <v>625500</v>
      </c>
      <c r="BE230" s="39" t="s">
        <v>855</v>
      </c>
      <c r="BF230" s="40" t="s">
        <v>1191</v>
      </c>
      <c r="BG230" s="41" t="str">
        <f t="shared" si="53"/>
        <v>(VA) - VIRGINIA BEACH</v>
      </c>
      <c r="BH230" s="77">
        <v>458850</v>
      </c>
    </row>
    <row r="231" spans="42:60" ht="15.75" thickBot="1" x14ac:dyDescent="0.3">
      <c r="AP231" s="72" t="s">
        <v>953</v>
      </c>
      <c r="AQ231" s="73" t="s">
        <v>1118</v>
      </c>
      <c r="AR231" s="74" t="str">
        <f t="shared" si="52"/>
        <v>(WA) - KING</v>
      </c>
      <c r="AS231" s="75">
        <v>506000</v>
      </c>
      <c r="AU231" s="35" t="s">
        <v>953</v>
      </c>
      <c r="AV231" s="36" t="s">
        <v>1118</v>
      </c>
      <c r="AW231" s="74" t="str">
        <f t="shared" si="56"/>
        <v>(WA) - KING</v>
      </c>
      <c r="AX231" s="76">
        <v>517500</v>
      </c>
      <c r="AZ231" s="37" t="s">
        <v>953</v>
      </c>
      <c r="BA231" s="38" t="s">
        <v>1118</v>
      </c>
      <c r="BB231" s="74" t="str">
        <f t="shared" si="57"/>
        <v>(WA) - KING</v>
      </c>
      <c r="BC231" s="76">
        <v>540500</v>
      </c>
      <c r="BE231" s="39" t="s">
        <v>855</v>
      </c>
      <c r="BF231" s="40" t="s">
        <v>1192</v>
      </c>
      <c r="BG231" s="41" t="str">
        <f t="shared" si="53"/>
        <v>(VA) - WILLIAMSBURG</v>
      </c>
      <c r="BH231" s="77">
        <v>458850</v>
      </c>
    </row>
    <row r="232" spans="42:60" ht="15.75" thickBot="1" x14ac:dyDescent="0.3">
      <c r="AP232" s="82" t="s">
        <v>953</v>
      </c>
      <c r="AQ232" s="83" t="s">
        <v>1123</v>
      </c>
      <c r="AR232" s="74" t="str">
        <f t="shared" si="52"/>
        <v>(WA) - PIERCE</v>
      </c>
      <c r="AS232" s="84">
        <v>506000</v>
      </c>
      <c r="AU232" s="35" t="s">
        <v>953</v>
      </c>
      <c r="AV232" s="36" t="s">
        <v>1123</v>
      </c>
      <c r="AW232" s="74" t="str">
        <f t="shared" si="56"/>
        <v>(WA) - PIERCE</v>
      </c>
      <c r="AX232" s="76">
        <v>517500</v>
      </c>
      <c r="AZ232" s="37" t="s">
        <v>953</v>
      </c>
      <c r="BA232" s="38" t="s">
        <v>1123</v>
      </c>
      <c r="BB232" s="74" t="str">
        <f t="shared" si="57"/>
        <v>(WA) - PIERCE</v>
      </c>
      <c r="BC232" s="76">
        <v>540500</v>
      </c>
      <c r="BE232" s="39" t="s">
        <v>938</v>
      </c>
      <c r="BF232" s="40" t="s">
        <v>1185</v>
      </c>
      <c r="BG232" s="41" t="str">
        <f t="shared" si="53"/>
        <v>(VI) - ST. CROIX</v>
      </c>
      <c r="BH232" s="77">
        <v>636150</v>
      </c>
    </row>
    <row r="233" spans="42:60" ht="15.75" thickBot="1" x14ac:dyDescent="0.3">
      <c r="AP233" s="72" t="s">
        <v>953</v>
      </c>
      <c r="AQ233" s="73" t="s">
        <v>1129</v>
      </c>
      <c r="AR233" s="74" t="str">
        <f t="shared" si="52"/>
        <v>(WA) - SAN JUAN</v>
      </c>
      <c r="AS233" s="75">
        <v>483000</v>
      </c>
      <c r="AU233" s="35" t="s">
        <v>953</v>
      </c>
      <c r="AV233" s="36" t="s">
        <v>1129</v>
      </c>
      <c r="AW233" s="74" t="str">
        <f t="shared" si="56"/>
        <v>(WA) - SAN JUAN</v>
      </c>
      <c r="AX233" s="76">
        <v>483000</v>
      </c>
      <c r="AZ233" s="37" t="s">
        <v>953</v>
      </c>
      <c r="BA233" s="38" t="s">
        <v>1129</v>
      </c>
      <c r="BB233" s="74" t="str">
        <f t="shared" si="57"/>
        <v>(WA) - SAN JUAN</v>
      </c>
      <c r="BC233" s="76">
        <v>483000</v>
      </c>
      <c r="BE233" s="39" t="s">
        <v>938</v>
      </c>
      <c r="BF233" s="40" t="s">
        <v>1186</v>
      </c>
      <c r="BG233" s="41" t="str">
        <f t="shared" si="53"/>
        <v>(VI) - ST. JOHN,VI</v>
      </c>
      <c r="BH233" s="77">
        <v>636150</v>
      </c>
    </row>
    <row r="234" spans="42:60" ht="15.75" thickBot="1" x14ac:dyDescent="0.3">
      <c r="AP234" s="72" t="s">
        <v>953</v>
      </c>
      <c r="AQ234" s="73" t="s">
        <v>1133</v>
      </c>
      <c r="AR234" s="74" t="str">
        <f t="shared" si="52"/>
        <v>(WA) - SNOHOMISH</v>
      </c>
      <c r="AS234" s="75">
        <v>506000</v>
      </c>
      <c r="AU234" s="35" t="s">
        <v>953</v>
      </c>
      <c r="AV234" s="36" t="s">
        <v>1133</v>
      </c>
      <c r="AW234" s="74" t="str">
        <f t="shared" si="56"/>
        <v>(WA) - SNOHOMISH</v>
      </c>
      <c r="AX234" s="76">
        <v>517500</v>
      </c>
      <c r="AZ234" s="37" t="s">
        <v>953</v>
      </c>
      <c r="BA234" s="38" t="s">
        <v>1133</v>
      </c>
      <c r="BB234" s="74" t="str">
        <f t="shared" si="57"/>
        <v>(WA) - SNOHOMISH</v>
      </c>
      <c r="BC234" s="76">
        <v>540500</v>
      </c>
      <c r="BE234" s="39" t="s">
        <v>938</v>
      </c>
      <c r="BF234" s="40" t="s">
        <v>1188</v>
      </c>
      <c r="BG234" s="41" t="str">
        <f t="shared" si="53"/>
        <v>(VI) - ST. THOMAS</v>
      </c>
      <c r="BH234" s="77">
        <v>636150</v>
      </c>
    </row>
    <row r="235" spans="42:60" ht="15.75" thickBot="1" x14ac:dyDescent="0.3">
      <c r="AP235" s="72" t="s">
        <v>971</v>
      </c>
      <c r="AQ235" s="73" t="s">
        <v>625</v>
      </c>
      <c r="AR235" s="74" t="str">
        <f t="shared" si="52"/>
        <v>(WV) - JEFFERSON</v>
      </c>
      <c r="AS235" s="75">
        <v>692500</v>
      </c>
      <c r="AU235" s="35" t="s">
        <v>971</v>
      </c>
      <c r="AV235" s="36" t="s">
        <v>625</v>
      </c>
      <c r="AW235" s="74" t="str">
        <f t="shared" si="56"/>
        <v>(WV) - JEFFERSON</v>
      </c>
      <c r="AX235" s="76">
        <v>625500</v>
      </c>
      <c r="AZ235" s="37" t="s">
        <v>971</v>
      </c>
      <c r="BA235" s="38" t="s">
        <v>625</v>
      </c>
      <c r="BB235" s="74" t="str">
        <f t="shared" si="57"/>
        <v>(WV) - JEFFERSON</v>
      </c>
      <c r="BC235" s="76">
        <v>625500</v>
      </c>
      <c r="BE235" s="39" t="s">
        <v>953</v>
      </c>
      <c r="BF235" s="40" t="s">
        <v>1118</v>
      </c>
      <c r="BG235" s="41" t="str">
        <f t="shared" si="53"/>
        <v>(WA) - KING</v>
      </c>
      <c r="BH235" s="77">
        <v>592250</v>
      </c>
    </row>
    <row r="236" spans="42:60" ht="15.75" thickBot="1" x14ac:dyDescent="0.3">
      <c r="AP236" s="72" t="s">
        <v>975</v>
      </c>
      <c r="AQ236" s="73" t="s">
        <v>746</v>
      </c>
      <c r="AR236" s="74" t="str">
        <f t="shared" si="52"/>
        <v>(WY) - TETON</v>
      </c>
      <c r="AS236" s="75">
        <v>630000</v>
      </c>
      <c r="AU236" s="35" t="s">
        <v>975</v>
      </c>
      <c r="AV236" s="36" t="s">
        <v>746</v>
      </c>
      <c r="AW236" s="74" t="str">
        <f t="shared" si="56"/>
        <v>(WY) - TETON</v>
      </c>
      <c r="AX236" s="76">
        <v>625500</v>
      </c>
      <c r="AZ236" s="37" t="s">
        <v>975</v>
      </c>
      <c r="BA236" s="38" t="s">
        <v>746</v>
      </c>
      <c r="BB236" s="74" t="str">
        <f t="shared" si="57"/>
        <v>(WY) - TETON</v>
      </c>
      <c r="BC236" s="76">
        <v>625500</v>
      </c>
      <c r="BE236" s="39" t="s">
        <v>953</v>
      </c>
      <c r="BF236" s="40" t="s">
        <v>1123</v>
      </c>
      <c r="BG236" s="41" t="str">
        <f t="shared" si="53"/>
        <v>(WA) - PIERCE</v>
      </c>
      <c r="BH236" s="77">
        <v>592250</v>
      </c>
    </row>
    <row r="237" spans="42:60" x14ac:dyDescent="0.25">
      <c r="BE237" s="39" t="s">
        <v>953</v>
      </c>
      <c r="BF237" s="40" t="s">
        <v>1129</v>
      </c>
      <c r="BG237" s="41" t="str">
        <f t="shared" si="53"/>
        <v>(WA) - SAN JUAN</v>
      </c>
      <c r="BH237" s="77">
        <v>483000</v>
      </c>
    </row>
    <row r="238" spans="42:60" x14ac:dyDescent="0.25">
      <c r="BE238" s="39" t="s">
        <v>953</v>
      </c>
      <c r="BF238" s="40" t="s">
        <v>1133</v>
      </c>
      <c r="BG238" s="41" t="str">
        <f t="shared" si="53"/>
        <v>(WA) - SNOHOMISH</v>
      </c>
      <c r="BH238" s="77">
        <v>592250</v>
      </c>
    </row>
    <row r="239" spans="42:60" x14ac:dyDescent="0.25">
      <c r="BE239" s="39" t="s">
        <v>971</v>
      </c>
      <c r="BF239" s="40" t="s">
        <v>625</v>
      </c>
      <c r="BG239" s="41" t="str">
        <f t="shared" si="53"/>
        <v>(WV) - JEFFERSON</v>
      </c>
      <c r="BH239" s="77">
        <v>636150</v>
      </c>
    </row>
    <row r="240" spans="42:60" x14ac:dyDescent="0.25">
      <c r="BE240" s="39" t="s">
        <v>975</v>
      </c>
      <c r="BF240" s="40" t="s">
        <v>746</v>
      </c>
      <c r="BG240" s="41" t="str">
        <f t="shared" si="53"/>
        <v>(WY) - TETON</v>
      </c>
      <c r="BH240" s="77">
        <v>636150</v>
      </c>
    </row>
  </sheetData>
  <mergeCells count="1">
    <mergeCell ref="CI2:CJ2"/>
  </mergeCells>
  <pageMargins left="0.7" right="0.7" top="0.75" bottom="0.75" header="0.3" footer="0.3"/>
  <pageSetup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862ba85-137b-4a6e-97c0-07c4bb99b2ec">
      <Terms xmlns="http://schemas.microsoft.com/office/infopath/2007/PartnerControls"/>
    </lcf76f155ced4ddcb4097134ff3c332f>
    <TaxCatchAll xmlns="ba8cbb3c-b59f-4973-ad8c-f07b5748f78f" xsi:nil="true"/>
    <MigrationWizId xmlns="5862ba85-137b-4a6e-97c0-07c4bb99b2ec" xsi:nil="true"/>
    <MigrationWizIdVersion xmlns="5862ba85-137b-4a6e-97c0-07c4bb99b2ec" xsi:nil="true"/>
    <MigrationWizIdDocumentLibraryPermissions xmlns="5862ba85-137b-4a6e-97c0-07c4bb99b2ec" xsi:nil="true"/>
    <MigrationWizIdSecurityGroups xmlns="5862ba85-137b-4a6e-97c0-07c4bb99b2ec" xsi:nil="true"/>
    <MigrationWizIdPermissionLevels xmlns="5862ba85-137b-4a6e-97c0-07c4bb99b2ec" xsi:nil="true"/>
    <lcf76f155ced4ddcb4097134ff3c332f0 xmlns="5862ba85-137b-4a6e-97c0-07c4bb99b2ec" xsi:nil="true"/>
    <lcf76f155ced4ddcb4097134ff3c332f1 xmlns="5862ba85-137b-4a6e-97c0-07c4bb99b2ec" xsi:nil="true"/>
    <MigrationWizIdPermissions xmlns="5862ba85-137b-4a6e-97c0-07c4bb99b2e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4754219C2BC0C4AA8F65660EFAD58DB" ma:contentTypeVersion="22" ma:contentTypeDescription="Create a new document." ma:contentTypeScope="" ma:versionID="f97a190d54db34c6313fc8998644ee22">
  <xsd:schema xmlns:xsd="http://www.w3.org/2001/XMLSchema" xmlns:xs="http://www.w3.org/2001/XMLSchema" xmlns:p="http://schemas.microsoft.com/office/2006/metadata/properties" xmlns:ns2="5862ba85-137b-4a6e-97c0-07c4bb99b2ec" xmlns:ns3="ba8cbb3c-b59f-4973-ad8c-f07b5748f78f" targetNamespace="http://schemas.microsoft.com/office/2006/metadata/properties" ma:root="true" ma:fieldsID="2dcf0cbe0873d26c10114391f628d1fd" ns2:_="" ns3:_="">
    <xsd:import namespace="5862ba85-137b-4a6e-97c0-07c4bb99b2ec"/>
    <xsd:import namespace="ba8cbb3c-b59f-4973-ad8c-f07b5748f78f"/>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lcf76f155ced4ddcb4097134ff3c332f0"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1"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2ba85-137b-4a6e-97c0-07c4bb99b2e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lcf76f155ced4ddcb4097134ff3c332f0" ma:index="14" nillable="true" ma:displayName="Image Tags_0" ma:hidden="true" ma:internalName="lcf76f155ced4ddcb4097134ff3c332f0" ma:readOnly="false">
      <xsd:simpleType>
        <xsd:restriction base="dms:Not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1" ma:index="19" nillable="true" ma:displayName="Image Tags_0" ma:hidden="true" ma:internalName="lcf76f155ced4ddcb4097134ff3c332f1" ma:readOnly="fals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9faba6c-ce7f-4389-8a2e-7abc81a71d3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descriptio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8cbb3c-b59f-4973-ad8c-f07b5748f78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8878dbc-3899-4451-ac80-9fb7c81c8604}" ma:internalName="TaxCatchAll" ma:showField="CatchAllData" ma:web="ba8cbb3c-b59f-4973-ad8c-f07b5748f78f">
      <xsd:complexType>
        <xsd:complexContent>
          <xsd:extension base="dms:MultiChoiceLookup">
            <xsd:sequence>
              <xsd:element name="Value" type="dms:Lookup" maxOccurs="unbounded" minOccurs="0"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C2567-2DDA-47B5-B72D-D07CC5A98FE1}">
  <ds:schemaRefs>
    <ds:schemaRef ds:uri="http://schemas.microsoft.com/office/2006/metadata/properties"/>
    <ds:schemaRef ds:uri="http://schemas.microsoft.com/office/infopath/2007/PartnerControls"/>
    <ds:schemaRef ds:uri="5862ba85-137b-4a6e-97c0-07c4bb99b2ec"/>
    <ds:schemaRef ds:uri="ba8cbb3c-b59f-4973-ad8c-f07b5748f78f"/>
  </ds:schemaRefs>
</ds:datastoreItem>
</file>

<file path=customXml/itemProps2.xml><?xml version="1.0" encoding="utf-8"?>
<ds:datastoreItem xmlns:ds="http://schemas.openxmlformats.org/officeDocument/2006/customXml" ds:itemID="{475FEE02-7D1F-4D3C-965D-E5EAEFE98DAC}">
  <ds:schemaRefs>
    <ds:schemaRef ds:uri="http://schemas.microsoft.com/sharepoint/v3/contenttype/forms"/>
  </ds:schemaRefs>
</ds:datastoreItem>
</file>

<file path=customXml/itemProps3.xml><?xml version="1.0" encoding="utf-8"?>
<ds:datastoreItem xmlns:ds="http://schemas.openxmlformats.org/officeDocument/2006/customXml" ds:itemID="{F390218D-AA42-4C3B-9EDD-8445F7D955BA}">
  <ds:schemaRefs>
    <ds:schemaRef ds:uri="http://schemas.microsoft.com/office/2006/metadata/longProperties"/>
  </ds:schemaRefs>
</ds:datastoreItem>
</file>

<file path=customXml/itemProps4.xml><?xml version="1.0" encoding="utf-8"?>
<ds:datastoreItem xmlns:ds="http://schemas.openxmlformats.org/officeDocument/2006/customXml" ds:itemID="{B04D1287-E8D4-4AED-BA00-5CA58FA29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2ba85-137b-4a6e-97c0-07c4bb99b2ec"/>
    <ds:schemaRef ds:uri="ba8cbb3c-b59f-4973-ad8c-f07b5748f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Purchase &amp; Refi</vt:lpstr>
      <vt:lpstr>VA IRRRL</vt:lpstr>
      <vt:lpstr>Calculator Job Aid</vt:lpstr>
      <vt:lpstr>Funding Fees &amp; County LImits</vt:lpstr>
      <vt:lpstr>'Purchase &amp; Refi'!Print_Area</vt:lpstr>
      <vt:lpstr>'VA IRRRL'!Print_Area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Dabkowski</dc:creator>
  <cp:keywords/>
  <dc:description/>
  <cp:lastModifiedBy>Mike Dabkowski</cp:lastModifiedBy>
  <cp:revision/>
  <dcterms:created xsi:type="dcterms:W3CDTF">2021-08-06T15:47:12Z</dcterms:created>
  <dcterms:modified xsi:type="dcterms:W3CDTF">2025-08-27T20:35:59Z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3000.00000000000</vt:lpwstr>
  </property>
  <property fmtid="{D5CDD505-2E9C-101B-9397-08002B2CF9AE}" pid="3" name="MigrationWizId">
    <vt:lpwstr>52fc0742-1fac-4b8e-aa57-eb05ad74b3c0</vt:lpwstr>
  </property>
  <property fmtid="{D5CDD505-2E9C-101B-9397-08002B2CF9AE}" pid="4" name="ContentTypeId">
    <vt:lpwstr>0x010100E4754219C2BC0C4AA8F65660EFAD58DB</vt:lpwstr>
  </property>
  <property fmtid="{D5CDD505-2E9C-101B-9397-08002B2CF9AE}" pid="5" name="MediaServiceImageTags">
    <vt:lpwstr/>
  </property>
</Properties>
</file>